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3C" lockStructure="1"/>
  <bookViews>
    <workbookView xWindow="0" yWindow="0" windowWidth="14385" windowHeight="4185" tabRatio="901" activeTab="2"/>
  </bookViews>
  <sheets>
    <sheet name="Cover" sheetId="13" r:id="rId1"/>
    <sheet name="CB20" sheetId="2" r:id="rId2"/>
    <sheet name="CB40" sheetId="17" r:id="rId3"/>
    <sheet name="1A" sheetId="3" r:id="rId4"/>
    <sheet name="1B" sheetId="4" r:id="rId5"/>
    <sheet name="CB201" sheetId="5" r:id="rId6"/>
    <sheet name="CB202" sheetId="6" r:id="rId7"/>
    <sheet name="Stat Deposit" sheetId="7" r:id="rId8"/>
    <sheet name="Stat Fund-LT" sheetId="8" r:id="rId9"/>
    <sheet name="Stat Fund-MV" sheetId="9" r:id="rId10"/>
    <sheet name="Notes" sheetId="10" r:id="rId11"/>
    <sheet name="Codes" sheetId="12" state="hidden" r:id="rId12"/>
    <sheet name="INSASCII_new_codes" sheetId="11" state="hidden" r:id="rId13"/>
    <sheet name="Sheet2" sheetId="22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css124">[1]Master!$AO$7</definedName>
    <definedName name="___na100">[1]Master!$M$9</definedName>
    <definedName name="___na101">[1]Master!$N$9</definedName>
    <definedName name="___na102">[1]Master!$O$9</definedName>
    <definedName name="___na103">[1]Master!$P$9</definedName>
    <definedName name="___na104">[1]Master!$Q$9</definedName>
    <definedName name="___na105">[1]Master!$R$9</definedName>
    <definedName name="___na106">[1]Master!$S$9</definedName>
    <definedName name="___na108">[1]Master!$V$9</definedName>
    <definedName name="___na109">[1]Master!$W$9</definedName>
    <definedName name="___na110">[1]Master!$X$9</definedName>
    <definedName name="___PLC8">'[2]105-2'!$F$12</definedName>
    <definedName name="___PLP8">'[2]Last Year Totals'!$D$251</definedName>
    <definedName name="___SR6">[1]Master!$D$94</definedName>
    <definedName name="__css124">[1]Master!$AO$7</definedName>
    <definedName name="__IIC21" localSheetId="2">'[3]210-I'!#REF!</definedName>
    <definedName name="__IIC21">'[3]210-I'!#REF!</definedName>
    <definedName name="__na100">[1]Master!$M$9</definedName>
    <definedName name="__na101">[1]Master!$N$9</definedName>
    <definedName name="__na102">[1]Master!$O$9</definedName>
    <definedName name="__na103">[1]Master!$P$9</definedName>
    <definedName name="__na104">[1]Master!$Q$9</definedName>
    <definedName name="__na105">[1]Master!$R$9</definedName>
    <definedName name="__na106">[1]Master!$S$9</definedName>
    <definedName name="__na108">[1]Master!$V$9</definedName>
    <definedName name="__na109">[1]Master!$W$9</definedName>
    <definedName name="__na110">[1]Master!$X$9</definedName>
    <definedName name="__PLC8">'[2]105-2'!$F$12</definedName>
    <definedName name="__PLP8">'[2]Last Year Totals'!$D$251</definedName>
    <definedName name="__SR6">[1]Master!$D$94</definedName>
    <definedName name="_css124">[1]Master!$AO$7</definedName>
    <definedName name="_Fill" localSheetId="2" hidden="1">#REF!</definedName>
    <definedName name="_Fill" hidden="1">#REF!</definedName>
    <definedName name="_xlnm._FilterDatabase" localSheetId="5" hidden="1">'CB201'!$A$2:$M$42</definedName>
    <definedName name="_xlnm._FilterDatabase" localSheetId="12" hidden="1">INSASCII_new_codes!$A$1:$I$1109</definedName>
    <definedName name="_IIC21">'[3]210-I'!#REF!</definedName>
    <definedName name="_na100">[1]Master!$M$9</definedName>
    <definedName name="_na101">[1]Master!$N$9</definedName>
    <definedName name="_na102">[1]Master!$O$9</definedName>
    <definedName name="_na103">[1]Master!$P$9</definedName>
    <definedName name="_na104">[1]Master!$Q$9</definedName>
    <definedName name="_na105">[1]Master!$R$9</definedName>
    <definedName name="_na106">[1]Master!$S$9</definedName>
    <definedName name="_na108">[1]Master!$V$9</definedName>
    <definedName name="_na109">[1]Master!$W$9</definedName>
    <definedName name="_na110">[1]Master!$X$9</definedName>
    <definedName name="_Order1" hidden="1">255</definedName>
    <definedName name="_PLC8" localSheetId="2">'[2]105-2'!$F$12</definedName>
    <definedName name="_PLC8">'[2]105-2'!$F$12</definedName>
    <definedName name="_PLP8" localSheetId="2">'[2]Last Year Totals'!$D$251</definedName>
    <definedName name="_PLP8">'[2]Last Year Totals'!$D$251</definedName>
    <definedName name="_SR6">[1]Master!$D$94</definedName>
    <definedName name="A1FUND10" localSheetId="2">#REF!</definedName>
    <definedName name="A1FUND10">#REF!</definedName>
    <definedName name="A1FUND5" localSheetId="2">#REF!</definedName>
    <definedName name="A1FUND5">#REF!</definedName>
    <definedName name="A1FUND6" localSheetId="2">#REF!</definedName>
    <definedName name="A1FUND6">#REF!</definedName>
    <definedName name="A1FUND7" localSheetId="2">#REF!</definedName>
    <definedName name="A1FUND7">#REF!</definedName>
    <definedName name="A1FUND8" localSheetId="2">#REF!</definedName>
    <definedName name="A1FUND8">#REF!</definedName>
    <definedName name="A1FUND9" localSheetId="2">#REF!</definedName>
    <definedName name="A1FUND9">#REF!</definedName>
    <definedName name="AADYP14.1" localSheetId="2">'[2]Last Year Totals'!$D$372</definedName>
    <definedName name="AADYP14.1">'[2]Last Year Totals'!$D$372</definedName>
    <definedName name="AC3.1" localSheetId="2">'[2]103-2'!$F$33</definedName>
    <definedName name="AC3.1">'[2]103-2'!$F$33</definedName>
    <definedName name="AC3.6" localSheetId="2">[3]Master!#REF!</definedName>
    <definedName name="AC3.6">[3]Master!#REF!</definedName>
    <definedName name="AEC2.2E1" localSheetId="2">'[2]106'!$F$38</definedName>
    <definedName name="AEC2.2E1">'[2]106'!$F$38</definedName>
    <definedName name="AEP2.2E1" localSheetId="2">'[2]Last Year Totals'!$D$306</definedName>
    <definedName name="AEP2.2E1">'[2]Last Year Totals'!$D$306</definedName>
    <definedName name="AP3.1" localSheetId="2">'[2]Last Year Totals'!$D$62</definedName>
    <definedName name="AP3.1">'[2]Last Year Totals'!$D$62</definedName>
    <definedName name="AP3.6" localSheetId="2">[3]Master!#REF!</definedName>
    <definedName name="AP3.6">[3]Master!#REF!</definedName>
    <definedName name="APP3.1" localSheetId="2">'[2]Last Year Totals'!$D$392</definedName>
    <definedName name="APP3.1">'[2]Last Year Totals'!$D$392</definedName>
    <definedName name="arasPatchVersion">"V2.7.01.a"</definedName>
    <definedName name="ASDYP13.2" localSheetId="2">'[2]Last Year Totals'!$D$364</definedName>
    <definedName name="ASDYP13.2">'[2]Last Year Totals'!$D$364</definedName>
    <definedName name="Captive">[1]Master!$E$435</definedName>
    <definedName name="Cells207">'[3]207-B'!$C$35,'[3]207-B'!$C$38,'[3]207-B'!$C$40,'[3]207-B'!$C$42</definedName>
    <definedName name="CFAC1" localSheetId="2">[2]Master!$D$121</definedName>
    <definedName name="CFAC1">[2]Master!$D$121</definedName>
    <definedName name="CFAC1.1" localSheetId="2">[2]Master!$D$120</definedName>
    <definedName name="CFAC1.1">[2]Master!$D$120</definedName>
    <definedName name="CFAC2" localSheetId="2">[2]Master!$D$122</definedName>
    <definedName name="CFAC2">[2]Master!$D$122</definedName>
    <definedName name="CFAC3" localSheetId="2">[2]Master!$D$123</definedName>
    <definedName name="CFAC3">[2]Master!$D$123</definedName>
    <definedName name="CFAC3.10" localSheetId="2">'[1]109'!#REF!</definedName>
    <definedName name="CFAC3.10">'[1]109'!#REF!</definedName>
    <definedName name="CFAC3.11" localSheetId="2">'[1]109'!#REF!</definedName>
    <definedName name="CFAC3.11">'[1]109'!#REF!</definedName>
    <definedName name="CFAC3.12" localSheetId="2">'[1]109'!#REF!</definedName>
    <definedName name="CFAC3.12">'[1]109'!#REF!</definedName>
    <definedName name="CFAC3.8" localSheetId="2">'[1]109'!#REF!</definedName>
    <definedName name="CFAC3.8">'[1]109'!#REF!</definedName>
    <definedName name="CFAC3.9" localSheetId="2">'[1]109'!#REF!</definedName>
    <definedName name="CFAC3.9">'[1]109'!#REF!</definedName>
    <definedName name="CFAC4" localSheetId="2">[2]Master!$D$124</definedName>
    <definedName name="CFAC4">[2]Master!$D$124</definedName>
    <definedName name="CFAC4.10" localSheetId="2">'[1]109'!#REF!</definedName>
    <definedName name="CFAC4.10">'[1]109'!#REF!</definedName>
    <definedName name="CFAC4.11" localSheetId="2">'[1]109'!#REF!</definedName>
    <definedName name="CFAC4.11">'[1]109'!#REF!</definedName>
    <definedName name="CFAC4.12" localSheetId="2">'[1]109'!#REF!</definedName>
    <definedName name="CFAC4.12">'[1]109'!#REF!</definedName>
    <definedName name="CFAC4.8" localSheetId="2">'[1]109'!#REF!</definedName>
    <definedName name="CFAC4.8">'[1]109'!#REF!</definedName>
    <definedName name="CFAC4.9" localSheetId="2">'[1]109'!#REF!</definedName>
    <definedName name="CFAC4.9">'[1]109'!#REF!</definedName>
    <definedName name="CFAC5" localSheetId="2">[2]Master!$D$125</definedName>
    <definedName name="CFAC5">[2]Master!$D$125</definedName>
    <definedName name="CFAC6" localSheetId="2">[2]Master!$D$126</definedName>
    <definedName name="CFAC6">[2]Master!$D$126</definedName>
    <definedName name="CFAC7" localSheetId="2">[2]Master!$D$127</definedName>
    <definedName name="CFAC7">[2]Master!$D$127</definedName>
    <definedName name="CFAP1" localSheetId="2">'[2]Last Year Totals'!$D$352</definedName>
    <definedName name="CFAP1">'[2]Last Year Totals'!$D$352</definedName>
    <definedName name="CFAP1.1" localSheetId="2">'[2]Last Year Totals'!$D$343</definedName>
    <definedName name="CFAP1.1">'[2]Last Year Totals'!$D$343</definedName>
    <definedName name="CFAP1.2" localSheetId="2">'[2]Last Year Totals'!$D$344</definedName>
    <definedName name="CFAP1.2">'[2]Last Year Totals'!$D$344</definedName>
    <definedName name="CFAP1.4" localSheetId="2">'[2]Last Year Totals'!$D$346</definedName>
    <definedName name="CFAP1.4">'[2]Last Year Totals'!$D$346</definedName>
    <definedName name="CFAP1.5A" localSheetId="2">'[2]Last Year Totals'!$D$347</definedName>
    <definedName name="CFAP1.5A">'[2]Last Year Totals'!$D$347</definedName>
    <definedName name="CFAP1.5B" localSheetId="2">'[2]Last Year Totals'!$D$348</definedName>
    <definedName name="CFAP1.5B">'[2]Last Year Totals'!$D$348</definedName>
    <definedName name="CFAP1.5C" localSheetId="2">'[2]Last Year Totals'!$D$349</definedName>
    <definedName name="CFAP1.5C">'[2]Last Year Totals'!$D$349</definedName>
    <definedName name="CFAP1.5D" localSheetId="2">'[2]Last Year Totals'!$D$350</definedName>
    <definedName name="CFAP1.5D">'[2]Last Year Totals'!$D$350</definedName>
    <definedName name="CFAP1.5E" localSheetId="2">'[2]Last Year Totals'!$D$351</definedName>
    <definedName name="CFAP1.5E">'[2]Last Year Totals'!$D$351</definedName>
    <definedName name="CFAP2" localSheetId="2">'[2]Last Year Totals'!$D$363</definedName>
    <definedName name="CFAP2">'[2]Last Year Totals'!$D$363</definedName>
    <definedName name="CFAP2.6" localSheetId="2">'[1]Last Year Totals'!#REF!</definedName>
    <definedName name="CFAP2.6">'[1]Last Year Totals'!#REF!</definedName>
    <definedName name="CFAP2.6A" localSheetId="2">'[2]Last Year Totals'!$D$358</definedName>
    <definedName name="CFAP2.6A">'[2]Last Year Totals'!$D$358</definedName>
    <definedName name="CFAP2.6B" localSheetId="2">'[2]Last Year Totals'!$D$359</definedName>
    <definedName name="CFAP2.6B">'[2]Last Year Totals'!$D$359</definedName>
    <definedName name="CFAP2.6C" localSheetId="2">'[2]Last Year Totals'!$D$360</definedName>
    <definedName name="CFAP2.6C">'[2]Last Year Totals'!$D$360</definedName>
    <definedName name="CFAP2.6D" localSheetId="2">'[2]Last Year Totals'!$D$361</definedName>
    <definedName name="CFAP2.6D">'[2]Last Year Totals'!$D$361</definedName>
    <definedName name="CFAP2.6E" localSheetId="2">'[2]Last Year Totals'!$D$362</definedName>
    <definedName name="CFAP2.6E">'[2]Last Year Totals'!$D$362</definedName>
    <definedName name="CFAP3" localSheetId="2">'[2]Last Year Totals'!$D$371</definedName>
    <definedName name="CFAP3">'[2]Last Year Totals'!$D$371</definedName>
    <definedName name="CFAP3.10" localSheetId="2">'[1]Last Year Totals'!#REF!</definedName>
    <definedName name="CFAP3.10">'[1]Last Year Totals'!#REF!</definedName>
    <definedName name="CFAP3.11" localSheetId="2">'[1]Last Year Totals'!#REF!</definedName>
    <definedName name="CFAP3.11">'[1]Last Year Totals'!#REF!</definedName>
    <definedName name="CFAP3.12" localSheetId="2">'[1]Last Year Totals'!#REF!</definedName>
    <definedName name="CFAP3.12">'[1]Last Year Totals'!#REF!</definedName>
    <definedName name="CFAP3.2" localSheetId="2">'[2]Last Year Totals'!$D$365</definedName>
    <definedName name="CFAP3.2">'[2]Last Year Totals'!$D$365</definedName>
    <definedName name="CFAP3.3" localSheetId="2">'[2]Last Year Totals'!$D$366</definedName>
    <definedName name="CFAP3.3">'[2]Last Year Totals'!$D$366</definedName>
    <definedName name="CFAP3.4" localSheetId="2">'[2]Last Year Totals'!$D$367</definedName>
    <definedName name="CFAP3.4">'[2]Last Year Totals'!$D$367</definedName>
    <definedName name="CFAP3.5" localSheetId="2">'[2]Last Year Totals'!$D$368</definedName>
    <definedName name="CFAP3.5">'[2]Last Year Totals'!$D$368</definedName>
    <definedName name="CFAP3.6" localSheetId="2">'[2]Last Year Totals'!$D$369</definedName>
    <definedName name="CFAP3.6">'[2]Last Year Totals'!$D$369</definedName>
    <definedName name="CFAP3.7" localSheetId="2">'[2]Last Year Totals'!$D$370</definedName>
    <definedName name="CFAP3.7">'[2]Last Year Totals'!$D$370</definedName>
    <definedName name="CFAP3.8" localSheetId="2">'[1]Last Year Totals'!#REF!</definedName>
    <definedName name="CFAP3.8">'[1]Last Year Totals'!#REF!</definedName>
    <definedName name="CFAP3.9" localSheetId="2">'[1]Last Year Totals'!#REF!</definedName>
    <definedName name="CFAP3.9">'[1]Last Year Totals'!#REF!</definedName>
    <definedName name="CFAP4" localSheetId="2">'[2]Last Year Totals'!$D$379</definedName>
    <definedName name="CFAP4">'[2]Last Year Totals'!$D$379</definedName>
    <definedName name="CFAP4.10" localSheetId="2">'[1]Last Year Totals'!#REF!</definedName>
    <definedName name="CFAP4.10">'[1]Last Year Totals'!#REF!</definedName>
    <definedName name="CFAP4.11" localSheetId="2">'[1]Last Year Totals'!#REF!</definedName>
    <definedName name="CFAP4.11">'[1]Last Year Totals'!#REF!</definedName>
    <definedName name="CFAP4.12" localSheetId="2">'[1]Last Year Totals'!#REF!</definedName>
    <definedName name="CFAP4.12">'[1]Last Year Totals'!#REF!</definedName>
    <definedName name="CFAP4.2" localSheetId="2">'[2]Last Year Totals'!$D$373</definedName>
    <definedName name="CFAP4.2">'[2]Last Year Totals'!$D$373</definedName>
    <definedName name="CFAP4.3" localSheetId="2">'[2]Last Year Totals'!$D$374</definedName>
    <definedName name="CFAP4.3">'[2]Last Year Totals'!$D$374</definedName>
    <definedName name="CFAP4.4" localSheetId="2">'[2]Last Year Totals'!$D$375</definedName>
    <definedName name="CFAP4.4">'[2]Last Year Totals'!$D$375</definedName>
    <definedName name="CFAP4.5" localSheetId="2">'[2]Last Year Totals'!$D$376</definedName>
    <definedName name="CFAP4.5">'[2]Last Year Totals'!$D$376</definedName>
    <definedName name="CFAP4.6" localSheetId="2">'[2]Last Year Totals'!$D$377</definedName>
    <definedName name="CFAP4.6">'[2]Last Year Totals'!$D$377</definedName>
    <definedName name="CFAP4.7" localSheetId="2">'[2]Last Year Totals'!$D$378</definedName>
    <definedName name="CFAP4.7">'[2]Last Year Totals'!$D$378</definedName>
    <definedName name="CFAP4.8" localSheetId="2">'[1]Last Year Totals'!#REF!</definedName>
    <definedName name="CFAP4.8">'[1]Last Year Totals'!#REF!</definedName>
    <definedName name="CFAP4.9" localSheetId="2">'[1]Last Year Totals'!#REF!</definedName>
    <definedName name="CFAP4.9">'[1]Last Year Totals'!#REF!</definedName>
    <definedName name="CFAP5" localSheetId="2">'[2]Last Year Totals'!$D$385</definedName>
    <definedName name="CFAP5">'[2]Last Year Totals'!$D$385</definedName>
    <definedName name="CFAP5.1" localSheetId="2">'[2]Last Year Totals'!$D$380</definedName>
    <definedName name="CFAP5.1">'[2]Last Year Totals'!$D$380</definedName>
    <definedName name="CFAP5.2" localSheetId="2">'[2]Last Year Totals'!$D$381</definedName>
    <definedName name="CFAP5.2">'[2]Last Year Totals'!$D$381</definedName>
    <definedName name="CFAP5.3" localSheetId="2">'[2]Last Year Totals'!$D$382</definedName>
    <definedName name="CFAP5.3">'[2]Last Year Totals'!$D$382</definedName>
    <definedName name="CFAP5.4" localSheetId="2">'[2]Last Year Totals'!$D$383</definedName>
    <definedName name="CFAP5.4">'[2]Last Year Totals'!$D$383</definedName>
    <definedName name="CFAP5.5" localSheetId="2">'[2]Last Year Totals'!$D$384</definedName>
    <definedName name="CFAP5.5">'[2]Last Year Totals'!$D$384</definedName>
    <definedName name="CFAP6" localSheetId="2">'[2]Last Year Totals'!$D$390</definedName>
    <definedName name="CFAP6">'[2]Last Year Totals'!$D$390</definedName>
    <definedName name="CFAP6.2" localSheetId="2">'[2]Last Year Totals'!$D$386</definedName>
    <definedName name="CFAP6.2">'[2]Last Year Totals'!$D$386</definedName>
    <definedName name="CFAP6.3" localSheetId="2">'[2]Last Year Totals'!$D$387</definedName>
    <definedName name="CFAP6.3">'[2]Last Year Totals'!$D$387</definedName>
    <definedName name="CFAP6.4" localSheetId="2">'[2]Last Year Totals'!$D$388</definedName>
    <definedName name="CFAP6.4">'[2]Last Year Totals'!$D$388</definedName>
    <definedName name="CFAP6.5" localSheetId="2">'[2]Last Year Totals'!$D$389</definedName>
    <definedName name="CFAP6.5">'[2]Last Year Totals'!$D$389</definedName>
    <definedName name="CFAP7" localSheetId="2">'[2]Last Year Totals'!$D$391</definedName>
    <definedName name="CFAP7">'[2]Last Year Totals'!$D$391</definedName>
    <definedName name="check_119a" localSheetId="2">[1]Master!#REF!</definedName>
    <definedName name="check_119a">[1]Master!#REF!</definedName>
    <definedName name="check100">[1]Master!$M$11:$M$406</definedName>
    <definedName name="check101">[1]Master!$N$11:$N$406</definedName>
    <definedName name="check102">[1]Master!$O$11:$O$406</definedName>
    <definedName name="check103">[1]Master!$P$11:$P$406</definedName>
    <definedName name="check104">[1]Master!$Q$11:$Q$406</definedName>
    <definedName name="check105">[1]Master!$R$11:$R$406</definedName>
    <definedName name="check106">[1]Master!$S$11:$S$406</definedName>
    <definedName name="check107a">[1]Master!$T$11:$T$406</definedName>
    <definedName name="check107b">[1]Master!$U$11:$U$406</definedName>
    <definedName name="check108">[1]Master!$V$11:$V$406</definedName>
    <definedName name="check109" localSheetId="2">[2]Master!$W$11:$W$406</definedName>
    <definedName name="check109">[2]Master!$W$11:$W$406</definedName>
    <definedName name="check110">[1]Master!$X$11:$X$406</definedName>
    <definedName name="check110a">[1]Master!$Y$11:$Y$406</definedName>
    <definedName name="check110a1">[1]Master!$Z$11:$Z$406</definedName>
    <definedName name="check110b">[1]Master!$AA$11:$AA$406</definedName>
    <definedName name="check128">[1]Master!$BE$11:$BE$406</definedName>
    <definedName name="check206">[3]Master!$AG$11:$AG$317</definedName>
    <definedName name="Check208Total1" localSheetId="2">[1]Master!#REF!</definedName>
    <definedName name="Check208Total1">[1]Master!#REF!</definedName>
    <definedName name="Check208Total2" localSheetId="2">[1]Master!#REF!</definedName>
    <definedName name="Check208Total2">[1]Master!#REF!</definedName>
    <definedName name="CheckAll">[1]Master!$M$11:$AO$407</definedName>
    <definedName name="Choice">[4]Lists!$A$1:$A$3</definedName>
    <definedName name="Company">[5]Cover!$B$8</definedName>
    <definedName name="COMPANY_TEXT" localSheetId="2">[2]Master!$C$3</definedName>
    <definedName name="COMPANY_TEXT">[2]Master!$C$3</definedName>
    <definedName name="CT1.1" localSheetId="2">'[2]110-E'!$G$61</definedName>
    <definedName name="CT1.1">'[2]110-E'!$G$61</definedName>
    <definedName name="CTP1.1" localSheetId="2">'[2]Last Year Totals'!$D$355</definedName>
    <definedName name="CTP1.1">'[2]Last Year Totals'!$D$355</definedName>
    <definedName name="currency" localSheetId="2">#REF!</definedName>
    <definedName name="currency">#REF!</definedName>
    <definedName name="CurrentSelection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Data_Area" localSheetId="2">'[6]205'!#REF!</definedName>
    <definedName name="Data_Area">'[6]205'!#REF!</definedName>
    <definedName name="DATE_TEXT" localSheetId="2">[2]Master!$C$5</definedName>
    <definedName name="DATE_TEXT">[2]Master!$C$5</definedName>
    <definedName name="dot">"."</definedName>
    <definedName name="EC">[1]Master!$D$28</definedName>
    <definedName name="EC5.3">'[3]203-3'!$F$32</definedName>
    <definedName name="EP5.3">'[3]Last Year Totals'!$D$106</definedName>
    <definedName name="EXP10.3" localSheetId="2">[2]Master!$D$198</definedName>
    <definedName name="EXP10.3">[2]Master!$D$198</definedName>
    <definedName name="EXPP10.3" localSheetId="2">'[2]Last Year Totals'!$D$354</definedName>
    <definedName name="EXPP10.3">'[2]Last Year Totals'!$D$354</definedName>
    <definedName name="FDTStamp">[1]Master!$E$426</definedName>
    <definedName name="G1.3.13" localSheetId="2">'[2]110-G'!$P$20</definedName>
    <definedName name="G1.3.13">'[2]110-G'!$P$20</definedName>
    <definedName name="GP1.3.13" localSheetId="2">'[2]Last Year Totals'!$D$356</definedName>
    <definedName name="GP1.3.13">'[2]Last Year Totals'!$D$356</definedName>
    <definedName name="IIC13.1X" localSheetId="2">[2]Master!$D$231</definedName>
    <definedName name="IIC13.1X">[2]Master!$D$231</definedName>
    <definedName name="IIP13.1X" localSheetId="2">'[2]Last Year Totals'!$D$345</definedName>
    <definedName name="IIP13.1X">'[2]Last Year Totals'!$D$345</definedName>
    <definedName name="Insurance" localSheetId="2">[7]Listing!$B$1:$B$23</definedName>
    <definedName name="Insurance">[8]Listing!$B$1:$B$23</definedName>
    <definedName name="IsCaptiveSheet">[1]Master!$E$434</definedName>
    <definedName name="IsComplete" localSheetId="2">[3]Master!#REF!</definedName>
    <definedName name="IsComplete">[3]Master!#REF!</definedName>
    <definedName name="LC9.11" localSheetId="2">[3]Master!#REF!</definedName>
    <definedName name="LC9.11">[3]Master!#REF!</definedName>
    <definedName name="Legal" localSheetId="2">[7]Listing!$A$1:$A$2</definedName>
    <definedName name="Legal">[8]Listing!$A$1:$A$2</definedName>
    <definedName name="Location" localSheetId="2">[9]Cover!#REF!</definedName>
    <definedName name="Location">[9]Cover!#REF!</definedName>
    <definedName name="MODEL">'[10]Cover Page:99.10'!$A$1:$U$241</definedName>
    <definedName name="na107a">[1]Master!$T$9</definedName>
    <definedName name="na107b">[1]Master!$U$9</definedName>
    <definedName name="na110a">[1]Master!$Y$9</definedName>
    <definedName name="na110a1">[1]Master!$Z$9</definedName>
    <definedName name="na110b">[1]Master!$AA$9</definedName>
    <definedName name="Name" localSheetId="2">[11]Cover!$B$7</definedName>
    <definedName name="Name">Cover!$B$7</definedName>
    <definedName name="NBI1.4.16" localSheetId="2">'[2]110-B'!$S$20</definedName>
    <definedName name="NBI1.4.16">'[2]110-B'!$S$20</definedName>
    <definedName name="NBIP1.4.16" localSheetId="2">'[2]Last Year Totals'!$D$353</definedName>
    <definedName name="NBIP1.4.16">'[2]Last Year Totals'!$D$353</definedName>
    <definedName name="One">"Block226"</definedName>
    <definedName name="PAGES">'[10]Cover Page:Ratios'!$A$1</definedName>
    <definedName name="Plans" localSheetId="2">[11]Codes!$B$1:$B$45</definedName>
    <definedName name="Plans">Codes!$B$1:$B$45</definedName>
    <definedName name="PLC17X">'[3]205-2'!$F$76</definedName>
    <definedName name="PLP17X">'[3]Last Year Totals'!$D$285</definedName>
    <definedName name="_xlnm.Print_Area" localSheetId="3">'1A'!$A$1:$O$28</definedName>
    <definedName name="_xlnm.Print_Area" localSheetId="4">'1B'!$A$1:$K$28</definedName>
    <definedName name="_xlnm.Print_Area" localSheetId="1">'CB20'!$A$1:$J$594</definedName>
    <definedName name="_xlnm.Print_Area" localSheetId="5">'CB201'!$A$1:$M$44</definedName>
    <definedName name="_xlnm.Print_Area" localSheetId="6">'CB202'!$A$1:$P$51</definedName>
    <definedName name="_xlnm.Print_Area" localSheetId="2">'CB40'!$A$1:$H$480</definedName>
    <definedName name="_xlnm.Print_Area" localSheetId="0">Cover!$A$1:$I$17</definedName>
    <definedName name="_xlnm.Print_Area" localSheetId="12">INSASCII_new_codes!$A$1:$I$654</definedName>
    <definedName name="_xlnm.Print_Area" localSheetId="7">'Stat Deposit'!$A$1:$C$34</definedName>
    <definedName name="_xlnm.Print_Area" localSheetId="8">'Stat Fund-LT'!$A$1:$C$70</definedName>
    <definedName name="_xlnm.Print_Area" localSheetId="9">'Stat Fund-MV'!$A$1:$C$53</definedName>
    <definedName name="_xlnm.Print_Titles" localSheetId="5">'CB201'!$A:$A,'CB201'!$2:$2</definedName>
    <definedName name="PSC5.13" localSheetId="2">'[2]110-H'!$P$49</definedName>
    <definedName name="PSC5.13">'[2]110-H'!$P$49</definedName>
    <definedName name="PSP5.13" localSheetId="2">'[2]Last Year Totals'!$D$357</definedName>
    <definedName name="PSP5.13">'[2]Last Year Totals'!$D$357</definedName>
    <definedName name="Reason" localSheetId="2">[7]Listing!$C$1:$C$4</definedName>
    <definedName name="Reason">[8]Listing!$C$1:$C$4</definedName>
    <definedName name="REPORT_DATE">[5]Cover!$B$16</definedName>
    <definedName name="reportdate" localSheetId="2">[11]Cover!$B$10</definedName>
    <definedName name="reportdate" localSheetId="0">Cover!$B$10</definedName>
    <definedName name="reportdate">Cover!$B$10</definedName>
    <definedName name="Result" localSheetId="2">[3]Master!#REF!</definedName>
    <definedName name="Result">[3]Master!#REF!</definedName>
    <definedName name="RF20100101" localSheetId="2">'[6]205'!#REF!</definedName>
    <definedName name="RF20100101">'[6]205'!#REF!</definedName>
    <definedName name="RF20100103" localSheetId="2">'[6]205'!#REF!</definedName>
    <definedName name="RF20100103">'[6]205'!#REF!</definedName>
    <definedName name="RF20100201" localSheetId="2">'[6]205'!#REF!</definedName>
    <definedName name="RF20100201">'[6]205'!#REF!</definedName>
    <definedName name="RF20100203" localSheetId="2">'[6]205'!#REF!</definedName>
    <definedName name="RF20100203">'[6]205'!#REF!</definedName>
    <definedName name="RF20100301" localSheetId="2">'[6]205'!#REF!</definedName>
    <definedName name="RF20100301">'[6]205'!#REF!</definedName>
    <definedName name="RF20100303" localSheetId="2">'[6]205'!#REF!</definedName>
    <definedName name="RF20100303">'[6]205'!#REF!</definedName>
    <definedName name="RF20100401" localSheetId="2">'[6]205'!#REF!</definedName>
    <definedName name="RF20100401">'[6]205'!#REF!</definedName>
    <definedName name="RF20100403" localSheetId="2">'[6]205'!#REF!</definedName>
    <definedName name="RF20100403">'[6]205'!#REF!</definedName>
    <definedName name="RF20100501" localSheetId="2">'[6]205'!#REF!</definedName>
    <definedName name="RF20100501">'[6]205'!#REF!</definedName>
    <definedName name="RF20100503" localSheetId="2">'[6]205'!#REF!</definedName>
    <definedName name="RF20100503">'[6]205'!#REF!</definedName>
    <definedName name="RF20100601" localSheetId="2">'[6]205'!#REF!</definedName>
    <definedName name="RF20100601">'[6]205'!#REF!</definedName>
    <definedName name="RF20100603" localSheetId="2">'[6]205'!#REF!</definedName>
    <definedName name="RF20100603">'[6]205'!#REF!</definedName>
    <definedName name="RF20100701" localSheetId="2">'[6]205'!#REF!</definedName>
    <definedName name="RF20100701">'[6]205'!#REF!</definedName>
    <definedName name="RF20100703" localSheetId="2">'[6]205'!#REF!</definedName>
    <definedName name="RF20100703">'[6]205'!#REF!</definedName>
    <definedName name="RF20100801" localSheetId="2">'[6]205'!#REF!</definedName>
    <definedName name="RF20100801">'[6]205'!#REF!</definedName>
    <definedName name="RF20100803" localSheetId="2">'[6]205'!#REF!</definedName>
    <definedName name="RF20100803">'[6]205'!#REF!</definedName>
    <definedName name="RF20100901" localSheetId="2">'[6]205'!#REF!</definedName>
    <definedName name="RF20100901">'[6]205'!#REF!</definedName>
    <definedName name="RF20100903" localSheetId="2">'[6]205'!#REF!</definedName>
    <definedName name="RF20100903">'[6]205'!#REF!</definedName>
    <definedName name="RF20101001" localSheetId="2">'[6]205'!#REF!</definedName>
    <definedName name="RF20101001">'[6]205'!#REF!</definedName>
    <definedName name="RF20101003" localSheetId="2">'[6]205'!#REF!</definedName>
    <definedName name="RF20101003">'[6]205'!#REF!</definedName>
    <definedName name="RF20101901" localSheetId="2">'[6]205'!#REF!</definedName>
    <definedName name="RF20101901">'[6]205'!#REF!</definedName>
    <definedName name="RF20101903" localSheetId="2">'[6]205'!#REF!</definedName>
    <definedName name="RF20101903">'[6]205'!#REF!</definedName>
    <definedName name="RF20102001" localSheetId="2">'[6]205'!#REF!</definedName>
    <definedName name="RF20102001">'[6]205'!#REF!</definedName>
    <definedName name="RF20102003" localSheetId="2">'[6]205'!#REF!</definedName>
    <definedName name="RF20102003">'[6]205'!#REF!</definedName>
    <definedName name="RF20102101" localSheetId="2">'[6]205'!#REF!</definedName>
    <definedName name="RF20102101">'[6]205'!#REF!</definedName>
    <definedName name="RF20102103" localSheetId="2">'[6]205'!#REF!</definedName>
    <definedName name="RF20102103">'[6]205'!#REF!</definedName>
    <definedName name="RF20102201" localSheetId="2">'[6]205'!#REF!</definedName>
    <definedName name="RF20102201">'[6]205'!#REF!</definedName>
    <definedName name="RF20102203" localSheetId="2">'[6]205'!#REF!</definedName>
    <definedName name="RF20102203">'[6]205'!#REF!</definedName>
    <definedName name="RF20102301" localSheetId="2">'[6]205'!#REF!</definedName>
    <definedName name="RF20102301">'[6]205'!#REF!</definedName>
    <definedName name="RF20102303" localSheetId="2">'[6]205'!#REF!</definedName>
    <definedName name="RF20102303">'[6]205'!#REF!</definedName>
    <definedName name="RF20102401" localSheetId="2">'[6]205'!#REF!</definedName>
    <definedName name="RF20102401">'[6]205'!#REF!</definedName>
    <definedName name="RF20102403" localSheetId="2">'[6]205'!#REF!</definedName>
    <definedName name="RF20102403">'[6]205'!#REF!</definedName>
    <definedName name="RF20102501" localSheetId="2">'[6]205'!#REF!</definedName>
    <definedName name="RF20102501">'[6]205'!#REF!</definedName>
    <definedName name="RF20102503" localSheetId="2">'[6]205'!#REF!</definedName>
    <definedName name="RF20102503">'[6]205'!#REF!</definedName>
    <definedName name="RF20102601" localSheetId="2">'[6]205'!#REF!</definedName>
    <definedName name="RF20102601">'[6]205'!#REF!</definedName>
    <definedName name="RF20102603" localSheetId="2">'[6]205'!#REF!</definedName>
    <definedName name="RF20102603">'[6]205'!#REF!</definedName>
    <definedName name="RF20102701" localSheetId="2">'[6]205'!#REF!</definedName>
    <definedName name="RF20102701">'[6]205'!#REF!</definedName>
    <definedName name="RF20102703" localSheetId="2">'[6]205'!#REF!</definedName>
    <definedName name="RF20102703">'[6]205'!#REF!</definedName>
    <definedName name="RF20103001" localSheetId="2">'[6]205'!#REF!</definedName>
    <definedName name="RF20103001">'[6]205'!#REF!</definedName>
    <definedName name="RF20103003" localSheetId="2">'[6]205'!#REF!</definedName>
    <definedName name="RF20103003">'[6]205'!#REF!</definedName>
    <definedName name="RF20103101" localSheetId="2">'[6]205'!#REF!</definedName>
    <definedName name="RF20103101">'[6]205'!#REF!</definedName>
    <definedName name="RF20103103" localSheetId="2">'[6]205'!#REF!</definedName>
    <definedName name="RF20103103">'[6]205'!#REF!</definedName>
    <definedName name="RF20103701" localSheetId="2">'[6]205'!#REF!</definedName>
    <definedName name="RF20103701">'[6]205'!#REF!</definedName>
    <definedName name="RF20103703" localSheetId="2">'[6]205'!#REF!</definedName>
    <definedName name="RF20103703">'[6]205'!#REF!</definedName>
    <definedName name="RF20104001" localSheetId="2">'[6]205'!#REF!</definedName>
    <definedName name="RF20104001">'[6]205'!#REF!</definedName>
    <definedName name="RF20104003" localSheetId="2">'[6]205'!#REF!</definedName>
    <definedName name="RF20104003">'[6]205'!#REF!</definedName>
    <definedName name="RF20104101" localSheetId="2">'[6]205'!#REF!</definedName>
    <definedName name="RF20104101">'[6]205'!#REF!</definedName>
    <definedName name="RF20104103" localSheetId="2">'[6]205'!#REF!</definedName>
    <definedName name="RF20104103">'[6]205'!#REF!</definedName>
    <definedName name="RF20104201" localSheetId="2">'[6]205'!#REF!</definedName>
    <definedName name="RF20104201">'[6]205'!#REF!</definedName>
    <definedName name="RF20104203" localSheetId="2">'[6]205'!#REF!</definedName>
    <definedName name="RF20104203">'[6]205'!#REF!</definedName>
    <definedName name="RF20104301" localSheetId="2">'[6]205'!#REF!</definedName>
    <definedName name="RF20104301">'[6]205'!#REF!</definedName>
    <definedName name="RF20104303" localSheetId="2">'[6]205'!#REF!</definedName>
    <definedName name="RF20104303">'[6]205'!#REF!</definedName>
    <definedName name="RF20104401" localSheetId="2">'[6]205'!#REF!</definedName>
    <definedName name="RF20104401">'[6]205'!#REF!</definedName>
    <definedName name="RF20104403" localSheetId="2">'[6]205'!#REF!</definedName>
    <definedName name="RF20104403">'[6]205'!#REF!</definedName>
    <definedName name="RF20108901" localSheetId="2">'[6]205'!#REF!</definedName>
    <definedName name="RF20108901">'[6]205'!#REF!</definedName>
    <definedName name="RF20108903" localSheetId="2">'[6]205'!#REF!</definedName>
    <definedName name="RF20108903">'[6]205'!#REF!</definedName>
    <definedName name="sect1.1" localSheetId="2">#REF!</definedName>
    <definedName name="sect1.1">#REF!</definedName>
    <definedName name="sect1.2" localSheetId="2">#REF!</definedName>
    <definedName name="sect1.2">#REF!</definedName>
    <definedName name="sect1.3" localSheetId="2">#REF!</definedName>
    <definedName name="sect1.3">#REF!</definedName>
    <definedName name="sect10.1" localSheetId="2">#REF!</definedName>
    <definedName name="sect10.1">#REF!</definedName>
    <definedName name="sect10.2" localSheetId="2">#REF!</definedName>
    <definedName name="sect10.2">#REF!</definedName>
    <definedName name="sect10.3" localSheetId="2">#REF!</definedName>
    <definedName name="sect10.3">#REF!</definedName>
    <definedName name="sect10.4" localSheetId="2">#REF!</definedName>
    <definedName name="sect10.4">#REF!</definedName>
    <definedName name="sect11.1" localSheetId="2">#REF!</definedName>
    <definedName name="sect11.1">#REF!</definedName>
    <definedName name="sect11.2" localSheetId="2">#REF!</definedName>
    <definedName name="sect11.2">#REF!</definedName>
    <definedName name="sect11.3" localSheetId="2">#REF!</definedName>
    <definedName name="sect11.3">#REF!</definedName>
    <definedName name="sect11.4" localSheetId="2">#REF!</definedName>
    <definedName name="sect11.4">#REF!</definedName>
    <definedName name="sect11.5" localSheetId="2">#REF!</definedName>
    <definedName name="sect11.5">#REF!</definedName>
    <definedName name="sect12.1" localSheetId="2">#REF!</definedName>
    <definedName name="sect12.1">#REF!</definedName>
    <definedName name="sect12.2" localSheetId="2">#REF!</definedName>
    <definedName name="sect12.2">#REF!</definedName>
    <definedName name="sect12.3" localSheetId="2">#REF!</definedName>
    <definedName name="sect12.3">#REF!</definedName>
    <definedName name="sect12.4" localSheetId="2">#REF!</definedName>
    <definedName name="sect12.4">#REF!</definedName>
    <definedName name="sect13.1" localSheetId="2">#REF!</definedName>
    <definedName name="sect13.1">#REF!</definedName>
    <definedName name="sect13.2" localSheetId="2">#REF!</definedName>
    <definedName name="sect13.2">#REF!</definedName>
    <definedName name="sect13.3" localSheetId="2">#REF!</definedName>
    <definedName name="sect13.3">#REF!</definedName>
    <definedName name="sect13.4" localSheetId="2">#REF!</definedName>
    <definedName name="sect13.4">#REF!</definedName>
    <definedName name="sect13.5" localSheetId="2">#REF!</definedName>
    <definedName name="sect13.5">#REF!</definedName>
    <definedName name="sect14.1" localSheetId="2">#REF!</definedName>
    <definedName name="sect14.1">#REF!</definedName>
    <definedName name="sect14.2" localSheetId="2">#REF!</definedName>
    <definedName name="sect14.2">#REF!</definedName>
    <definedName name="sect14.3" localSheetId="2">#REF!</definedName>
    <definedName name="sect14.3">#REF!</definedName>
    <definedName name="sect14.4" localSheetId="2">#REF!</definedName>
    <definedName name="sect14.4">#REF!</definedName>
    <definedName name="sect15.1" localSheetId="2">#REF!</definedName>
    <definedName name="sect15.1">#REF!</definedName>
    <definedName name="sect16.1" localSheetId="2">#REF!</definedName>
    <definedName name="sect16.1">#REF!</definedName>
    <definedName name="sect16.2" localSheetId="2">#REF!</definedName>
    <definedName name="sect16.2">#REF!</definedName>
    <definedName name="sect16.3" localSheetId="2">#REF!</definedName>
    <definedName name="sect16.3">#REF!</definedName>
    <definedName name="sect17.1" localSheetId="2">#REF!</definedName>
    <definedName name="sect17.1">#REF!</definedName>
    <definedName name="sect17.2" localSheetId="2">#REF!</definedName>
    <definedName name="sect17.2">#REF!</definedName>
    <definedName name="sect17.3" localSheetId="2">#REF!</definedName>
    <definedName name="sect17.3">#REF!</definedName>
    <definedName name="sect17.4" localSheetId="2">#REF!</definedName>
    <definedName name="sect17.4">#REF!</definedName>
    <definedName name="sect18.1" localSheetId="2">#REF!</definedName>
    <definedName name="sect18.1">#REF!</definedName>
    <definedName name="sect18.2" localSheetId="2">#REF!</definedName>
    <definedName name="sect18.2">#REF!</definedName>
    <definedName name="sect18.3" localSheetId="2">#REF!</definedName>
    <definedName name="sect18.3">#REF!</definedName>
    <definedName name="sect18.4" localSheetId="2">#REF!</definedName>
    <definedName name="sect18.4">#REF!</definedName>
    <definedName name="sect18.5" localSheetId="2">#REF!</definedName>
    <definedName name="sect18.5">#REF!</definedName>
    <definedName name="sect19.1" localSheetId="2">#REF!</definedName>
    <definedName name="sect19.1">#REF!</definedName>
    <definedName name="sect19.2" localSheetId="2">#REF!</definedName>
    <definedName name="sect19.2">#REF!</definedName>
    <definedName name="sect19.3" localSheetId="2">#REF!</definedName>
    <definedName name="sect19.3">#REF!</definedName>
    <definedName name="sect19.4" localSheetId="2">#REF!</definedName>
    <definedName name="sect19.4">#REF!</definedName>
    <definedName name="sect2.1" localSheetId="2">#REF!</definedName>
    <definedName name="sect2.1">#REF!</definedName>
    <definedName name="sect2.2" localSheetId="2">#REF!</definedName>
    <definedName name="sect2.2">#REF!</definedName>
    <definedName name="sect2.3" localSheetId="2">#REF!</definedName>
    <definedName name="sect2.3">#REF!</definedName>
    <definedName name="sect2.4" localSheetId="2">#REF!</definedName>
    <definedName name="sect2.4">#REF!</definedName>
    <definedName name="sect20.1" localSheetId="2">#REF!</definedName>
    <definedName name="sect20.1">#REF!</definedName>
    <definedName name="sect20.2" localSheetId="2">#REF!</definedName>
    <definedName name="sect20.2">#REF!</definedName>
    <definedName name="sect20.3" localSheetId="2">#REF!</definedName>
    <definedName name="sect20.3">#REF!</definedName>
    <definedName name="sect20.4" localSheetId="2">#REF!</definedName>
    <definedName name="sect20.4">#REF!</definedName>
    <definedName name="sect20.5" localSheetId="2">#REF!</definedName>
    <definedName name="sect20.5">#REF!</definedName>
    <definedName name="sect21.1" localSheetId="2">#REF!</definedName>
    <definedName name="sect21.1">#REF!</definedName>
    <definedName name="sect21.2" localSheetId="2">#REF!</definedName>
    <definedName name="sect21.2">#REF!</definedName>
    <definedName name="sect21.3" localSheetId="2">#REF!</definedName>
    <definedName name="sect21.3">#REF!</definedName>
    <definedName name="sect21.4" localSheetId="2">#REF!</definedName>
    <definedName name="sect21.4">#REF!</definedName>
    <definedName name="sect22.1" localSheetId="2">#REF!</definedName>
    <definedName name="sect22.1">#REF!</definedName>
    <definedName name="sect22.2" localSheetId="2">#REF!</definedName>
    <definedName name="sect22.2">#REF!</definedName>
    <definedName name="sect23.1" localSheetId="2">#REF!</definedName>
    <definedName name="sect23.1">#REF!</definedName>
    <definedName name="sect23.2" localSheetId="2">#REF!</definedName>
    <definedName name="sect23.2">#REF!</definedName>
    <definedName name="sect23.3" localSheetId="2">#REF!</definedName>
    <definedName name="sect23.3">#REF!</definedName>
    <definedName name="sect23.4" localSheetId="2">#REF!</definedName>
    <definedName name="sect23.4">#REF!</definedName>
    <definedName name="sect23.5" localSheetId="2">#REF!</definedName>
    <definedName name="sect23.5">#REF!</definedName>
    <definedName name="sect23.6" localSheetId="2">#REF!</definedName>
    <definedName name="sect23.6">#REF!</definedName>
    <definedName name="sect24.1" localSheetId="2">#REF!</definedName>
    <definedName name="sect24.1">#REF!</definedName>
    <definedName name="sect24.2" localSheetId="2">#REF!</definedName>
    <definedName name="sect24.2">#REF!</definedName>
    <definedName name="sect24.3" localSheetId="2">#REF!</definedName>
    <definedName name="sect24.3">#REF!</definedName>
    <definedName name="sect25.1" localSheetId="2">#REF!</definedName>
    <definedName name="sect25.1">#REF!</definedName>
    <definedName name="sect25.2" localSheetId="2">#REF!</definedName>
    <definedName name="sect25.2">#REF!</definedName>
    <definedName name="sect25.3" localSheetId="2">#REF!</definedName>
    <definedName name="sect25.3">#REF!</definedName>
    <definedName name="sect25.4" localSheetId="2">#REF!</definedName>
    <definedName name="sect25.4">#REF!</definedName>
    <definedName name="sect26.1" localSheetId="2">#REF!</definedName>
    <definedName name="sect26.1">#REF!</definedName>
    <definedName name="sect27.1" localSheetId="2">#REF!</definedName>
    <definedName name="sect27.1">#REF!</definedName>
    <definedName name="sect27.2" localSheetId="2">#REF!</definedName>
    <definedName name="sect27.2">#REF!</definedName>
    <definedName name="sect27.3" localSheetId="2">#REF!</definedName>
    <definedName name="sect27.3">#REF!</definedName>
    <definedName name="sect27.4" localSheetId="2">#REF!</definedName>
    <definedName name="sect27.4">#REF!</definedName>
    <definedName name="sect28.1" localSheetId="2">#REF!</definedName>
    <definedName name="sect28.1">#REF!</definedName>
    <definedName name="sect28.2" localSheetId="2">#REF!</definedName>
    <definedName name="sect28.2">#REF!</definedName>
    <definedName name="sect29.1" localSheetId="2">#REF!</definedName>
    <definedName name="sect29.1">#REF!</definedName>
    <definedName name="sect29.2" localSheetId="2">#REF!</definedName>
    <definedName name="sect29.2">#REF!</definedName>
    <definedName name="sect29.3" localSheetId="2">#REF!</definedName>
    <definedName name="sect29.3">#REF!</definedName>
    <definedName name="sect3.1" localSheetId="2">#REF!</definedName>
    <definedName name="sect3.1">#REF!</definedName>
    <definedName name="sect3.2" localSheetId="2">#REF!</definedName>
    <definedName name="sect3.2">#REF!</definedName>
    <definedName name="sect3.3" localSheetId="2">#REF!</definedName>
    <definedName name="sect3.3">#REF!</definedName>
    <definedName name="sect30.1" localSheetId="2">#REF!</definedName>
    <definedName name="sect30.1">#REF!</definedName>
    <definedName name="sect30.2" localSheetId="2">#REF!</definedName>
    <definedName name="sect30.2">#REF!</definedName>
    <definedName name="sect30.3" localSheetId="2">#REF!</definedName>
    <definedName name="sect30.3">#REF!</definedName>
    <definedName name="sect30.4" localSheetId="2">#REF!</definedName>
    <definedName name="sect30.4">#REF!</definedName>
    <definedName name="sect31.1" localSheetId="2">#REF!</definedName>
    <definedName name="sect31.1">#REF!</definedName>
    <definedName name="sect31.2" localSheetId="2">#REF!</definedName>
    <definedName name="sect31.2">#REF!</definedName>
    <definedName name="sect32.1" localSheetId="2">#REF!</definedName>
    <definedName name="sect32.1">#REF!</definedName>
    <definedName name="sect32.2" localSheetId="2">#REF!</definedName>
    <definedName name="sect32.2">#REF!</definedName>
    <definedName name="sect32.3" localSheetId="2">#REF!</definedName>
    <definedName name="sect32.3">#REF!</definedName>
    <definedName name="sect33.1" localSheetId="2">#REF!</definedName>
    <definedName name="sect33.1">#REF!</definedName>
    <definedName name="sect33.2" localSheetId="2">#REF!</definedName>
    <definedName name="sect33.2">#REF!</definedName>
    <definedName name="sect33.3" localSheetId="2">#REF!</definedName>
    <definedName name="sect33.3">#REF!</definedName>
    <definedName name="sect33.4" localSheetId="2">#REF!</definedName>
    <definedName name="sect33.4">#REF!</definedName>
    <definedName name="sect34.1" localSheetId="2">#REF!</definedName>
    <definedName name="sect34.1">#REF!</definedName>
    <definedName name="sect34.2" localSheetId="2">#REF!</definedName>
    <definedName name="sect34.2">#REF!</definedName>
    <definedName name="sect35.1" localSheetId="2">#REF!</definedName>
    <definedName name="sect35.1">#REF!</definedName>
    <definedName name="sect35.2" localSheetId="2">#REF!</definedName>
    <definedName name="sect35.2">#REF!</definedName>
    <definedName name="sect35.3" localSheetId="2">#REF!</definedName>
    <definedName name="sect35.3">#REF!</definedName>
    <definedName name="sect36.1" localSheetId="2">#REF!</definedName>
    <definedName name="sect36.1">#REF!</definedName>
    <definedName name="sect36.2" localSheetId="2">#REF!</definedName>
    <definedName name="sect36.2">#REF!</definedName>
    <definedName name="sect36.3" localSheetId="2">#REF!</definedName>
    <definedName name="sect36.3">#REF!</definedName>
    <definedName name="sect36.4" localSheetId="2">#REF!</definedName>
    <definedName name="sect36.4">#REF!</definedName>
    <definedName name="sect36.5" localSheetId="2">#REF!</definedName>
    <definedName name="sect36.5">#REF!</definedName>
    <definedName name="sect37.1" localSheetId="2">#REF!</definedName>
    <definedName name="sect37.1">#REF!</definedName>
    <definedName name="sect37.2" localSheetId="2">#REF!</definedName>
    <definedName name="sect37.2">#REF!</definedName>
    <definedName name="sect38.1" localSheetId="2">#REF!</definedName>
    <definedName name="sect38.1">#REF!</definedName>
    <definedName name="sect38.2" localSheetId="2">#REF!</definedName>
    <definedName name="sect38.2">#REF!</definedName>
    <definedName name="sect38.3" localSheetId="2">#REF!</definedName>
    <definedName name="sect38.3">#REF!</definedName>
    <definedName name="sect39.1" localSheetId="2">#REF!</definedName>
    <definedName name="sect39.1">#REF!</definedName>
    <definedName name="sect39.2" localSheetId="2">#REF!</definedName>
    <definedName name="sect39.2">#REF!</definedName>
    <definedName name="sect39.3" localSheetId="2">#REF!</definedName>
    <definedName name="sect39.3">#REF!</definedName>
    <definedName name="sect39.4" localSheetId="2">#REF!</definedName>
    <definedName name="sect39.4">#REF!</definedName>
    <definedName name="sect39.5" localSheetId="2">#REF!</definedName>
    <definedName name="sect39.5">#REF!</definedName>
    <definedName name="sect4.1" localSheetId="2">#REF!</definedName>
    <definedName name="sect4.1">#REF!</definedName>
    <definedName name="sect4.2" localSheetId="2">#REF!</definedName>
    <definedName name="sect4.2">#REF!</definedName>
    <definedName name="sect4.3" localSheetId="2">#REF!</definedName>
    <definedName name="sect4.3">#REF!</definedName>
    <definedName name="sect4.4" localSheetId="2">#REF!</definedName>
    <definedName name="sect4.4">#REF!</definedName>
    <definedName name="sect5.1" localSheetId="2">#REF!</definedName>
    <definedName name="sect5.1">#REF!</definedName>
    <definedName name="sect6.1" localSheetId="2">#REF!</definedName>
    <definedName name="sect6.1">#REF!</definedName>
    <definedName name="sect6.2" localSheetId="2">#REF!</definedName>
    <definedName name="sect6.2">#REF!</definedName>
    <definedName name="sect6.3" localSheetId="2">#REF!</definedName>
    <definedName name="sect6.3">#REF!</definedName>
    <definedName name="sect6.4" localSheetId="2">#REF!</definedName>
    <definedName name="sect6.4">#REF!</definedName>
    <definedName name="sect7.1" localSheetId="2">#REF!</definedName>
    <definedName name="sect7.1">#REF!</definedName>
    <definedName name="sect7.2" localSheetId="2">#REF!</definedName>
    <definedName name="sect7.2">#REF!</definedName>
    <definedName name="sect7.3" localSheetId="2">#REF!</definedName>
    <definedName name="sect7.3">#REF!</definedName>
    <definedName name="sect7.4" localSheetId="2">#REF!</definedName>
    <definedName name="sect7.4">#REF!</definedName>
    <definedName name="sect7.5" localSheetId="2">#REF!</definedName>
    <definedName name="sect7.5">#REF!</definedName>
    <definedName name="sect8.1" localSheetId="2">#REF!</definedName>
    <definedName name="sect8.1">#REF!</definedName>
    <definedName name="sect8.2" localSheetId="2">#REF!</definedName>
    <definedName name="sect8.2">#REF!</definedName>
    <definedName name="sect8.3" localSheetId="2">#REF!</definedName>
    <definedName name="sect8.3">#REF!</definedName>
    <definedName name="sect8.4" localSheetId="2">#REF!</definedName>
    <definedName name="sect8.4">#REF!</definedName>
    <definedName name="sect9.1" localSheetId="2">#REF!</definedName>
    <definedName name="sect9.1">#REF!</definedName>
    <definedName name="sect9.2" localSheetId="2">#REF!</definedName>
    <definedName name="sect9.2">#REF!</definedName>
    <definedName name="sect9.3" localSheetId="2">#REF!</definedName>
    <definedName name="sect9.3">#REF!</definedName>
    <definedName name="sect9.4" localSheetId="2">#REF!</definedName>
    <definedName name="sect9.4">#REF!</definedName>
    <definedName name="sect9.5" localSheetId="2">#REF!</definedName>
    <definedName name="sect9.5">#REF!</definedName>
    <definedName name="Source1LC9">'[1]103-4'!$F$50:$F$57,'[1]103-4'!$F$60:$F$64,'[1]103-4'!$F$66</definedName>
    <definedName name="Source2PC7.3">'[3]210-E'!$J$22,'[3]210-E'!$J$72</definedName>
    <definedName name="Source2PLC">'[1]110'!$G$39,'[1]110'!$K$39,'[1]110'!$N$39,'[1]110'!$O$39</definedName>
    <definedName name="Source2PLC1">'[1]110'!$G$17,'[1]110'!$K$17,'[1]110'!$N$17,'[1]110'!$O$17</definedName>
    <definedName name="Source2PLC10">'[1]110'!$G$31,'[1]110'!$K$31,'[1]110'!$N$31,'[1]110'!$O$31</definedName>
    <definedName name="Source2plc11">'[1]110'!$G$32,'[1]110'!$K$32,'[1]110'!$N$32,'[1]110'!$O$32</definedName>
    <definedName name="Source2PLC12">'[1]110'!$G$34,'[1]110'!$K$34,'[1]110'!$N$34,'[1]110'!$O$34</definedName>
    <definedName name="Source2PLC13">'[1]110'!$G$35,'[1]110'!$K$35,'[1]110'!$N$35,'[1]110'!$O$35</definedName>
    <definedName name="Source2PLC14">'[1]110'!$G$37,'[1]110'!$K$37,'[1]110'!$N$37,'[1]110'!$O$37</definedName>
    <definedName name="Source2PLC15">'[1]110'!$G$38,'[1]110'!$K$38,'[1]110'!$O$38</definedName>
    <definedName name="Source2PLC2">'[1]110'!$G$19,'[1]110'!$K$19,'[1]110'!$N$19,'[1]110'!$O$19</definedName>
    <definedName name="Source2PLC3">'[1]110'!$G$20,'[1]110'!$K$20,'[1]110'!$N$20,'[1]110'!$O$20</definedName>
    <definedName name="Source2PLC4">'[1]110'!$G$21,'[1]110'!$K$21,'[1]110'!$N$21,'[1]110'!$O$21</definedName>
    <definedName name="Source2PLC5.2">'[1]110'!$G$24,'[1]110'!$K$24,'[1]110'!$N$24,'[1]110'!$O$24:$O$25</definedName>
    <definedName name="Source2PLC6.1">'[1]110'!$G$26,'[1]110'!$K$26,'[1]110'!$N$26,'[1]110'!$O$26</definedName>
    <definedName name="Source2PLC6.2">'[1]110'!$G$27,'[1]110'!$K$27,'[1]110'!$N$27,'[1]110'!$O$27</definedName>
    <definedName name="Source2PLC7">'[1]110'!$G$28,'[1]110'!$K$28,'[1]110'!$N$28,'[1]110'!$O$28</definedName>
    <definedName name="Source2PLC8">'[1]110'!$G$29,'[1]110'!$K$29,'[1]110'!$O$29</definedName>
    <definedName name="Source2PLC9">'[1]110'!$G$30,'[1]110'!$K$30,'[1]110'!$N$30,'[1]110'!$O$30</definedName>
    <definedName name="Source3PLc1">'[1]110-A'!$G$40,'[1]110-A'!$K$40,'[1]110-A'!$N$40,'[1]110-A'!$O$40</definedName>
    <definedName name="SourceABT2.A.14">'[1]110-D'!$G$40,'[1]110-D'!$P$40</definedName>
    <definedName name="SourceABT2.B.14">'[1]110-D'!$G$41,'[1]110-D'!$P$41</definedName>
    <definedName name="SourceAC2.1">'[1]103-1'!$F$17,'[1]103-1'!$F$19:$F$23</definedName>
    <definedName name="SourceAC2.7">'[1]103-2'!$F$17:$F$20,'[1]103-2'!$F$22</definedName>
    <definedName name="SourceAc4_">'[3]203-2'!$F$57:$F$58,'[3]203-2'!$F$60:$F$69</definedName>
    <definedName name="SourceAEC3X" localSheetId="2">'[1]106'!#REF!</definedName>
    <definedName name="SourceAEC3X">'[1]106'!#REF!</definedName>
    <definedName name="SourceAOR5.1.13">'[1]110'!$G$23,'[1]110'!$K$23,'[1]110'!$N$23,'[1]110'!$O$23</definedName>
    <definedName name="SourceAOR5.2.13">'[1]110'!$G$24,'[1]110'!$K$24,'[1]110'!$N$24,'[1]110'!$O$24</definedName>
    <definedName name="SOURCEIO5.3">'[1]108'!$F$34,'[1]108'!$F$54</definedName>
    <definedName name="SourceLC8" localSheetId="2">'[3]203-4'!$F$48:$F$52,'[3]203-4'!$F$54:$F$56,'[3]203-4'!#REF!</definedName>
    <definedName name="SourceLC8">'[3]203-4'!$F$48:$F$52,'[3]203-4'!$F$54:$F$56,'[3]203-4'!#REF!</definedName>
    <definedName name="SourceLC9" localSheetId="2">'[3]203-5'!$F$13:$F$23,'[3]203-5'!$F$25:$F$28,'[3]203-5'!#REF!</definedName>
    <definedName name="SourceLC9">'[3]203-5'!$F$13:$F$23,'[3]203-5'!$F$25:$F$28,'[3]203-5'!#REF!</definedName>
    <definedName name="SourcePC7">'[3]208'!$E$53,'[3]208'!$E$33</definedName>
    <definedName name="SourcePC8.4">'[1]103-4'!$F$38:$F$39,'[1]103-4'!$F$41:$F$44</definedName>
    <definedName name="SourcePIFC4.1">'[1]110-D'!$G$25,'[1]110-D'!$P$25</definedName>
    <definedName name="SourcePIFC4.2">'[1]110-D'!$G$26,'[1]110-D'!$P$26</definedName>
    <definedName name="SourcePIFC4.3">'[1]110-D'!$G$27,'[1]110-D'!$P$27</definedName>
    <definedName name="SourcePIFC4.4">'[1]110-D'!$G$28,'[1]110-D'!$P$28</definedName>
    <definedName name="SourcePIFC4.5">'[1]110-D'!$G$30,'[1]110-D'!$P$30</definedName>
    <definedName name="SourcePIFC4.6">'[1]110-D'!$G$31,'[1]110-D'!$P$31</definedName>
    <definedName name="SourcePIFC4.7">'[1]110-D'!$G$32,'[1]110-D'!$P$32</definedName>
    <definedName name="SourcePIFC4.8">'[1]110-D'!$G$33,'[1]110-D'!$P$33</definedName>
    <definedName name="SourcePIFC4.9">'[1]110-D'!$G$38,'[1]110-D'!$P$38</definedName>
    <definedName name="SourcePIFC7.9">'[1]110-D'!$G$54,'[1]110-D'!$P$54</definedName>
    <definedName name="SourcePLC1.1">'[3]210-A'!$D$71,'[3]210-A'!$D$21</definedName>
    <definedName name="SourcePLC1.2">'[3]210-A'!$E$71,'[3]210-A'!$E$21</definedName>
    <definedName name="SourcePLC1.3X">'[3]210-A'!$F$71,'[3]210-A'!$F$21</definedName>
    <definedName name="SourcePLC1.4">'[3]210-A'!$G$71,'[3]210-A'!$G$21</definedName>
    <definedName name="SourcePLC1.5X">'[3]210-A'!$H$71,'[3]210-A'!$H$21</definedName>
    <definedName name="SourcePLC1X">'[3]210-F'!$P$21,'[3]210-F'!$G$21</definedName>
    <definedName name="SourcePLC3.1">'[3]210-C'!$D$22,'[3]210-C'!$D$72</definedName>
    <definedName name="SourcePLC3.2">'[3]210-C'!$E$72,'[3]210-C'!$E$22</definedName>
    <definedName name="SourcePLC3.3X">'[3]210-C'!$F$22,'[3]210-C'!$F$72</definedName>
    <definedName name="SourcePLC3.4">'[3]210-C'!$G$72,'[3]210-C'!$G$22</definedName>
    <definedName name="SourcePLC3.5X">'[3]210-C'!$H$22,'[3]210-C'!$H$72</definedName>
    <definedName name="SourcePLC3X">'[3]210-C'!$K$72,'[3]210-C'!$K$22</definedName>
    <definedName name="SourcePLC4.1">'[3]210-E'!$D$22,'[3]210-E'!$D$72</definedName>
    <definedName name="SourcePLC4.2">'[3]210-E'!$E$22,'[3]210-E'!$E$72</definedName>
    <definedName name="SourcePLC4.3X">'[3]210-E'!$F$22,'[3]210-E'!$F$72</definedName>
    <definedName name="SourcePLC4.4">'[3]210-E'!$G$22,'[3]210-E'!$G$72</definedName>
    <definedName name="SourcePLC4.5X">'[3]210-E'!$H$22,'[3]210-E'!$H$72</definedName>
    <definedName name="SourcePLC4X">'[3]210-E'!$K$22,'[3]210-E'!$K$72</definedName>
    <definedName name="SourceTR1.1A.12">'[1]124'!$I$16,'[1]124'!$N$16,'[1]124'!$O$16</definedName>
    <definedName name="SourceTR4.12">'[1]124'!$I$35,'[1]124'!$N$35,'[1]124'!$O$35</definedName>
    <definedName name="SRBB6">[1]Master!$D$103</definedName>
    <definedName name="Src2NCI1">'[3]210-F'!$P$24,'[3]210-F'!$G$24</definedName>
    <definedName name="Src2NCI2">'[3]210-F'!$G$25,'[3]210-F'!$P$25</definedName>
    <definedName name="Src2NCI3">'[3]210-F'!$G$26,'[3]210-F'!$P$26</definedName>
    <definedName name="Src2NCI4">'[3]210-F'!$G$27,'[3]210-F'!$P$27</definedName>
    <definedName name="Src2NCI5">'[3]210-F'!$G$28,'[3]210-F'!$P$28</definedName>
    <definedName name="Src2NEP1">'[3]210-F'!$G$15,'[3]210-F'!$P$15</definedName>
    <definedName name="Src2NEP2">'[3]210-F'!$G$16,'[3]210-F'!$P$16</definedName>
    <definedName name="Src2NEP3">'[3]210-F'!$G$17,'[3]210-F'!$P$17</definedName>
    <definedName name="SRc2NEP4">'[3]210-F'!$G$18,'[3]210-F'!$P$18</definedName>
    <definedName name="Src2NEP5">'[3]210-F'!$G$19,'[3]210-F'!$P$19</definedName>
    <definedName name="SRWW6">'[1]107-B'!$D$59</definedName>
    <definedName name="tbc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tbe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TEXT1" localSheetId="2">[2]Master!$C$1</definedName>
    <definedName name="TEXT1">[2]Master!$C$1</definedName>
    <definedName name="TEXT2" localSheetId="2">[2]Master!$C$2</definedName>
    <definedName name="TEXT2">[2]Master!$C$2</definedName>
    <definedName name="TextBlock100c" localSheetId="2">[12]DRP!#REF!</definedName>
    <definedName name="TextBlock100c">[12]DRP!#REF!</definedName>
    <definedName name="Textblock206" localSheetId="2">#REF!</definedName>
    <definedName name="Textblock206">#REF!</definedName>
    <definedName name="textblock206a" localSheetId="2">#REF!</definedName>
    <definedName name="textblock206a">#REF!</definedName>
    <definedName name="textblock206b" localSheetId="2">#REF!</definedName>
    <definedName name="textblock206b">#REF!</definedName>
    <definedName name="TextBlock209a" localSheetId="2">'[3]209'!#REF!</definedName>
    <definedName name="TextBlock209a">'[3]209'!#REF!</definedName>
    <definedName name="TextCaptive">[1]Master!$E$437</definedName>
    <definedName name="TextComplete">[13]A1!$E$410</definedName>
    <definedName name="TextIncomplete">[13]A1!$E$411</definedName>
    <definedName name="TextNotApplicable">[13]A1!$E$418</definedName>
    <definedName name="TextReinsurer">[1]Master!$E$438</definedName>
    <definedName name="TextSeeAttachment">[1]Master!$E$414</definedName>
    <definedName name="TextStampComplete" localSheetId="2">[2]Master!$E$412</definedName>
    <definedName name="TextStampComplete">[2]Master!$E$412</definedName>
    <definedName name="TextStampIncomplete" localSheetId="2">[2]Master!$E$413</definedName>
    <definedName name="TextStampIncomplete">[2]Master!$E$413</definedName>
    <definedName name="TextStampInsolvent">[1]Master!$E$422</definedName>
    <definedName name="TextstampNoSurplus">[1]Master!$E$425</definedName>
    <definedName name="TextStampSolvent">[1]Master!$E$423</definedName>
    <definedName name="TextstampSurplus">[1]Master!$E$424</definedName>
    <definedName name="trustee" localSheetId="2">#REF!</definedName>
    <definedName name="trustee">#REF!</definedName>
    <definedName name="year">[14]Cover!$B$12</definedName>
    <definedName name="YEAR_TEXT" localSheetId="2">[2]Master!$C$4</definedName>
    <definedName name="YEAR_TEXT">[2]Master!$C$4</definedName>
  </definedNames>
  <calcPr calcId="145621"/>
</workbook>
</file>

<file path=xl/calcChain.xml><?xml version="1.0" encoding="utf-8"?>
<calcChain xmlns="http://schemas.openxmlformats.org/spreadsheetml/2006/main">
  <c r="A1" i="17" l="1"/>
  <c r="D46" i="11" l="1"/>
  <c r="C46" i="11"/>
  <c r="B58" i="2"/>
  <c r="B46" i="11" s="1"/>
  <c r="C15" i="8" l="1"/>
  <c r="C16" i="8"/>
  <c r="C17" i="8"/>
  <c r="C18" i="8"/>
  <c r="C19" i="8"/>
  <c r="C20" i="8"/>
  <c r="C21" i="8"/>
  <c r="C22" i="8"/>
  <c r="C14" i="8"/>
  <c r="C8" i="8"/>
  <c r="C9" i="8"/>
  <c r="C10" i="8"/>
  <c r="C11" i="8"/>
  <c r="C12" i="8"/>
  <c r="C1024" i="11"/>
  <c r="D1024" i="11"/>
  <c r="C1025" i="11"/>
  <c r="D1025" i="11"/>
  <c r="C1026" i="11"/>
  <c r="D1026" i="11"/>
  <c r="C1027" i="11"/>
  <c r="D1027" i="11"/>
  <c r="C1028" i="11"/>
  <c r="D1028" i="11"/>
  <c r="C1029" i="11"/>
  <c r="D1029" i="11"/>
  <c r="C1030" i="11"/>
  <c r="D1030" i="11"/>
  <c r="C1031" i="11"/>
  <c r="D1031" i="11"/>
  <c r="C1032" i="11"/>
  <c r="D1032" i="11"/>
  <c r="C855" i="11"/>
  <c r="D855" i="11"/>
  <c r="C856" i="11"/>
  <c r="D856" i="11"/>
  <c r="C857" i="11"/>
  <c r="D857" i="11"/>
  <c r="C858" i="11"/>
  <c r="D858" i="11"/>
  <c r="C859" i="11"/>
  <c r="D859" i="11"/>
  <c r="C860" i="11"/>
  <c r="D860" i="11"/>
  <c r="C861" i="11"/>
  <c r="D861" i="11"/>
  <c r="G412" i="17"/>
  <c r="E412" i="17"/>
  <c r="C408" i="17"/>
  <c r="C409" i="17"/>
  <c r="C410" i="17"/>
  <c r="C411" i="17"/>
  <c r="G611" i="11" l="1"/>
  <c r="F611" i="11"/>
  <c r="E611" i="11"/>
  <c r="G610" i="11"/>
  <c r="F610" i="11"/>
  <c r="E610" i="11"/>
  <c r="G609" i="11"/>
  <c r="F609" i="11"/>
  <c r="E609" i="11"/>
  <c r="G607" i="11"/>
  <c r="F607" i="11"/>
  <c r="E607" i="11"/>
  <c r="G606" i="11"/>
  <c r="F606" i="11"/>
  <c r="E606" i="11"/>
  <c r="G605" i="11"/>
  <c r="F605" i="11"/>
  <c r="E605" i="11"/>
  <c r="G603" i="11"/>
  <c r="F603" i="11"/>
  <c r="E603" i="11"/>
  <c r="G602" i="11"/>
  <c r="F602" i="11"/>
  <c r="E602" i="11"/>
  <c r="G600" i="11"/>
  <c r="F600" i="11"/>
  <c r="E600" i="11"/>
  <c r="G599" i="11"/>
  <c r="F599" i="11"/>
  <c r="E599" i="11"/>
  <c r="G598" i="11"/>
  <c r="F598" i="11"/>
  <c r="E598" i="11"/>
  <c r="G596" i="11"/>
  <c r="F596" i="11"/>
  <c r="E596" i="11"/>
  <c r="G595" i="11"/>
  <c r="F595" i="11"/>
  <c r="E595" i="11"/>
  <c r="D1094" i="11" l="1"/>
  <c r="C1094" i="11"/>
  <c r="D1093" i="11"/>
  <c r="C1093" i="11"/>
  <c r="D1092" i="11"/>
  <c r="C1092" i="11"/>
  <c r="D1091" i="11"/>
  <c r="C1091" i="11"/>
  <c r="D1090" i="11"/>
  <c r="C1090" i="11"/>
  <c r="D1089" i="11"/>
  <c r="C1089" i="11"/>
  <c r="D1088" i="11"/>
  <c r="C1088" i="11"/>
  <c r="D1086" i="11"/>
  <c r="C1086" i="11"/>
  <c r="D1085" i="11"/>
  <c r="C1085" i="11"/>
  <c r="D1084" i="11"/>
  <c r="C1084" i="11"/>
  <c r="D1083" i="11"/>
  <c r="C1083" i="11"/>
  <c r="D1082" i="11"/>
  <c r="C1082" i="11"/>
  <c r="D1081" i="11"/>
  <c r="C1081" i="11"/>
  <c r="D1080" i="11"/>
  <c r="C1080" i="11"/>
  <c r="D1079" i="11"/>
  <c r="C1079" i="11"/>
  <c r="D1078" i="11"/>
  <c r="C1078" i="11"/>
  <c r="D1075" i="11"/>
  <c r="C1075" i="11"/>
  <c r="D1074" i="11"/>
  <c r="C1074" i="11"/>
  <c r="D1073" i="11"/>
  <c r="C1073" i="11"/>
  <c r="D1072" i="11"/>
  <c r="C1072" i="11"/>
  <c r="D1071" i="11"/>
  <c r="C1071" i="11"/>
  <c r="D1070" i="11"/>
  <c r="C1070" i="11"/>
  <c r="D1067" i="11"/>
  <c r="C1067" i="11"/>
  <c r="D1066" i="11"/>
  <c r="C1066" i="11"/>
  <c r="D1065" i="11"/>
  <c r="C1065" i="11"/>
  <c r="D1064" i="11"/>
  <c r="C1064" i="11"/>
  <c r="D1063" i="11"/>
  <c r="C1063" i="11"/>
  <c r="D1062" i="11"/>
  <c r="C1062" i="11"/>
  <c r="D1061" i="11"/>
  <c r="C1061" i="11"/>
  <c r="D1059" i="11"/>
  <c r="C1059" i="11"/>
  <c r="B1059" i="11"/>
  <c r="D1058" i="11"/>
  <c r="C1058" i="11"/>
  <c r="B1058" i="11"/>
  <c r="D1057" i="11"/>
  <c r="C1057" i="11"/>
  <c r="D1056" i="11"/>
  <c r="C1056" i="11"/>
  <c r="B1056" i="11"/>
  <c r="D1055" i="11"/>
  <c r="C1055" i="11"/>
  <c r="D1054" i="11"/>
  <c r="C1054" i="11"/>
  <c r="D1053" i="11"/>
  <c r="C1053" i="11"/>
  <c r="D1052" i="11"/>
  <c r="C1052" i="11"/>
  <c r="D1051" i="11"/>
  <c r="C1051" i="11"/>
  <c r="D1048" i="11"/>
  <c r="C1048" i="11"/>
  <c r="D1047" i="11"/>
  <c r="C1047" i="11"/>
  <c r="D1046" i="11"/>
  <c r="C1046" i="11"/>
  <c r="D1045" i="11"/>
  <c r="C1045" i="11"/>
  <c r="D1044" i="11"/>
  <c r="C1044" i="11"/>
  <c r="D1043" i="11"/>
  <c r="C1043" i="11"/>
  <c r="D1040" i="11"/>
  <c r="C1040" i="11"/>
  <c r="D1039" i="11"/>
  <c r="C1039" i="11"/>
  <c r="D1038" i="11"/>
  <c r="C1038" i="11"/>
  <c r="D1037" i="11"/>
  <c r="C1037" i="11"/>
  <c r="D1036" i="11"/>
  <c r="C1036" i="11"/>
  <c r="D1035" i="11"/>
  <c r="C1035" i="11"/>
  <c r="D1034" i="11"/>
  <c r="C1034" i="11"/>
  <c r="D1021" i="11"/>
  <c r="C1021" i="11"/>
  <c r="D1020" i="11"/>
  <c r="C1020" i="11"/>
  <c r="D1019" i="11"/>
  <c r="C1019" i="11"/>
  <c r="D1018" i="11"/>
  <c r="C1018" i="11"/>
  <c r="D1017" i="11"/>
  <c r="C1017" i="11"/>
  <c r="D1016" i="11"/>
  <c r="C1016" i="11"/>
  <c r="D1014" i="11"/>
  <c r="C1014" i="11"/>
  <c r="D1013" i="11"/>
  <c r="C1013" i="11"/>
  <c r="D1012" i="11"/>
  <c r="C1012" i="11"/>
  <c r="D1011" i="11"/>
  <c r="C1011" i="11"/>
  <c r="D1010" i="11"/>
  <c r="C1010" i="11"/>
  <c r="D1008" i="11"/>
  <c r="C1008" i="11"/>
  <c r="D1007" i="11"/>
  <c r="C1007" i="11"/>
  <c r="D1006" i="11"/>
  <c r="C1006" i="11"/>
  <c r="E1003" i="11"/>
  <c r="D1003" i="11"/>
  <c r="B1003" i="11"/>
  <c r="E1002" i="11"/>
  <c r="D1002" i="11"/>
  <c r="B1002" i="11"/>
  <c r="E1001" i="11"/>
  <c r="D1001" i="11"/>
  <c r="B1001" i="11"/>
  <c r="E1000" i="11"/>
  <c r="D1000" i="11"/>
  <c r="B1000" i="11"/>
  <c r="E999" i="11"/>
  <c r="D999" i="11"/>
  <c r="B999" i="11"/>
  <c r="E998" i="11"/>
  <c r="D998" i="11"/>
  <c r="B998" i="11"/>
  <c r="E997" i="11"/>
  <c r="D997" i="11"/>
  <c r="B997" i="11"/>
  <c r="E996" i="11"/>
  <c r="D996" i="11"/>
  <c r="B996" i="11"/>
  <c r="E995" i="11"/>
  <c r="D995" i="11"/>
  <c r="B995" i="11"/>
  <c r="E994" i="11"/>
  <c r="D994" i="11"/>
  <c r="B994" i="11"/>
  <c r="E993" i="11"/>
  <c r="D993" i="11"/>
  <c r="B993" i="11"/>
  <c r="E990" i="11"/>
  <c r="D990" i="11"/>
  <c r="B990" i="11"/>
  <c r="E989" i="11"/>
  <c r="D989" i="11"/>
  <c r="B989" i="11"/>
  <c r="E988" i="11"/>
  <c r="D988" i="11"/>
  <c r="B988" i="11"/>
  <c r="E987" i="11"/>
  <c r="D987" i="11"/>
  <c r="B987" i="11"/>
  <c r="E986" i="11"/>
  <c r="D986" i="11"/>
  <c r="B986" i="11"/>
  <c r="E985" i="11"/>
  <c r="D985" i="11"/>
  <c r="B985" i="11"/>
  <c r="E984" i="11"/>
  <c r="D984" i="11"/>
  <c r="B984" i="11"/>
  <c r="E982" i="11"/>
  <c r="D982" i="11"/>
  <c r="B982" i="11"/>
  <c r="E981" i="11"/>
  <c r="D981" i="11"/>
  <c r="B981" i="11"/>
  <c r="E980" i="11"/>
  <c r="D980" i="11"/>
  <c r="B980" i="11"/>
  <c r="E979" i="11"/>
  <c r="D979" i="11"/>
  <c r="B979" i="11"/>
  <c r="E978" i="11"/>
  <c r="D978" i="11"/>
  <c r="B978" i="11"/>
  <c r="E977" i="11"/>
  <c r="D977" i="11"/>
  <c r="B977" i="11"/>
  <c r="E976" i="11"/>
  <c r="D976" i="11"/>
  <c r="B976" i="11"/>
  <c r="E975" i="11"/>
  <c r="D975" i="11"/>
  <c r="B975" i="11"/>
  <c r="E974" i="11"/>
  <c r="D974" i="11"/>
  <c r="B974" i="11"/>
  <c r="E971" i="11"/>
  <c r="D971" i="11"/>
  <c r="B971" i="11"/>
  <c r="E970" i="11"/>
  <c r="D970" i="11"/>
  <c r="B970" i="11"/>
  <c r="E969" i="11"/>
  <c r="D969" i="11"/>
  <c r="B969" i="11"/>
  <c r="E968" i="11"/>
  <c r="D968" i="11"/>
  <c r="B968" i="11"/>
  <c r="E967" i="11"/>
  <c r="D967" i="11"/>
  <c r="B967" i="11"/>
  <c r="E966" i="11"/>
  <c r="D966" i="11"/>
  <c r="B966" i="11"/>
  <c r="B962" i="11"/>
  <c r="B961" i="11"/>
  <c r="B959" i="11"/>
  <c r="B958" i="11"/>
  <c r="B957" i="11"/>
  <c r="B955" i="11"/>
  <c r="B954" i="11"/>
  <c r="B953" i="11"/>
  <c r="B951" i="11"/>
  <c r="B950" i="11"/>
  <c r="B949" i="11"/>
  <c r="B947" i="11"/>
  <c r="B946" i="11"/>
  <c r="B945" i="11"/>
  <c r="B943" i="11"/>
  <c r="B942" i="11"/>
  <c r="B941" i="11"/>
  <c r="B939" i="11"/>
  <c r="B938" i="11"/>
  <c r="B937" i="11"/>
  <c r="B935" i="11"/>
  <c r="B934" i="11"/>
  <c r="B933" i="11"/>
  <c r="B931" i="11"/>
  <c r="B930" i="11"/>
  <c r="B929" i="11"/>
  <c r="B927" i="11"/>
  <c r="B926" i="11"/>
  <c r="B925" i="11"/>
  <c r="B923" i="11"/>
  <c r="D920" i="11"/>
  <c r="C920" i="11"/>
  <c r="D919" i="11"/>
  <c r="C919" i="11"/>
  <c r="D918" i="11"/>
  <c r="C918" i="11"/>
  <c r="D917" i="11"/>
  <c r="C917" i="11"/>
  <c r="D916" i="11"/>
  <c r="C916" i="11"/>
  <c r="D915" i="11"/>
  <c r="C915" i="11"/>
  <c r="D914" i="11"/>
  <c r="C914" i="11"/>
  <c r="D913" i="11"/>
  <c r="C913" i="11"/>
  <c r="D912" i="11"/>
  <c r="C912" i="11"/>
  <c r="D909" i="11"/>
  <c r="C909" i="11"/>
  <c r="D908" i="11"/>
  <c r="C908" i="11"/>
  <c r="D907" i="11"/>
  <c r="C907" i="11"/>
  <c r="D906" i="11"/>
  <c r="C906" i="11"/>
  <c r="D905" i="11"/>
  <c r="C905" i="11"/>
  <c r="D904" i="11"/>
  <c r="C904" i="11"/>
  <c r="D902" i="11"/>
  <c r="C902" i="11"/>
  <c r="D900" i="11"/>
  <c r="C900" i="11"/>
  <c r="D899" i="11"/>
  <c r="C899" i="11"/>
  <c r="D898" i="11"/>
  <c r="C898" i="11"/>
  <c r="D896" i="11"/>
  <c r="C896" i="11"/>
  <c r="D895" i="11"/>
  <c r="C895" i="11"/>
  <c r="D894" i="11"/>
  <c r="C894" i="11"/>
  <c r="D893" i="11"/>
  <c r="C893" i="11"/>
  <c r="D892" i="11"/>
  <c r="C892" i="11"/>
  <c r="D891" i="11"/>
  <c r="C891" i="11"/>
  <c r="D888" i="11"/>
  <c r="C888" i="11"/>
  <c r="D887" i="11"/>
  <c r="C887" i="11"/>
  <c r="D886" i="11"/>
  <c r="C886" i="11"/>
  <c r="D885" i="11"/>
  <c r="C885" i="11"/>
  <c r="D884" i="11"/>
  <c r="C884" i="11"/>
  <c r="D883" i="11"/>
  <c r="C883" i="11"/>
  <c r="D882" i="11"/>
  <c r="C882" i="11"/>
  <c r="D880" i="11"/>
  <c r="C880" i="11"/>
  <c r="D879" i="11"/>
  <c r="C879" i="11"/>
  <c r="D878" i="11"/>
  <c r="C878" i="11"/>
  <c r="D877" i="11"/>
  <c r="C877" i="11"/>
  <c r="D876" i="11"/>
  <c r="C876" i="11"/>
  <c r="D875" i="11"/>
  <c r="C875" i="11"/>
  <c r="D874" i="11"/>
  <c r="C874" i="11"/>
  <c r="D873" i="11"/>
  <c r="C873" i="11"/>
  <c r="D872" i="11"/>
  <c r="C872" i="11"/>
  <c r="D869" i="11"/>
  <c r="C869" i="11"/>
  <c r="D868" i="11"/>
  <c r="C868" i="11"/>
  <c r="D867" i="11"/>
  <c r="C867" i="11"/>
  <c r="D866" i="11"/>
  <c r="C866" i="11"/>
  <c r="D865" i="11"/>
  <c r="C865" i="11"/>
  <c r="D864" i="11"/>
  <c r="C864" i="11"/>
  <c r="D853" i="11"/>
  <c r="C853" i="11"/>
  <c r="D852" i="11"/>
  <c r="C852" i="11"/>
  <c r="D851" i="11"/>
  <c r="C851" i="11"/>
  <c r="D850" i="11"/>
  <c r="C850" i="11"/>
  <c r="D849" i="11"/>
  <c r="C849" i="11"/>
  <c r="D848" i="11"/>
  <c r="C848" i="11"/>
  <c r="D847" i="11"/>
  <c r="C847" i="11"/>
  <c r="D846" i="11"/>
  <c r="C846" i="11"/>
  <c r="D845" i="11"/>
  <c r="C845" i="11"/>
  <c r="D842" i="11"/>
  <c r="C842" i="11"/>
  <c r="D841" i="11"/>
  <c r="C841" i="11"/>
  <c r="D840" i="11"/>
  <c r="C840" i="11"/>
  <c r="D839" i="11"/>
  <c r="C839" i="11"/>
  <c r="D838" i="11"/>
  <c r="C838" i="11"/>
  <c r="D837" i="11"/>
  <c r="C837" i="11"/>
  <c r="E833" i="11"/>
  <c r="D833" i="11"/>
  <c r="B833" i="11"/>
  <c r="E832" i="11"/>
  <c r="D832" i="11"/>
  <c r="B832" i="11"/>
  <c r="E831" i="11"/>
  <c r="D831" i="11"/>
  <c r="B831" i="11"/>
  <c r="E830" i="11"/>
  <c r="D830" i="11"/>
  <c r="B830" i="11"/>
  <c r="E829" i="11"/>
  <c r="D829" i="11"/>
  <c r="B829" i="11"/>
  <c r="E828" i="11"/>
  <c r="D828" i="11"/>
  <c r="B828" i="11"/>
  <c r="E827" i="11"/>
  <c r="D827" i="11"/>
  <c r="B827" i="11"/>
  <c r="E825" i="11"/>
  <c r="D825" i="11"/>
  <c r="B825" i="11"/>
  <c r="E824" i="11"/>
  <c r="D824" i="11"/>
  <c r="B824" i="11"/>
  <c r="E823" i="11"/>
  <c r="D823" i="11"/>
  <c r="B823" i="11"/>
  <c r="E822" i="11"/>
  <c r="D822" i="11"/>
  <c r="B822" i="11"/>
  <c r="E821" i="11"/>
  <c r="D821" i="11"/>
  <c r="B821" i="11"/>
  <c r="E820" i="11"/>
  <c r="D820" i="11"/>
  <c r="B820" i="11"/>
  <c r="E819" i="11"/>
  <c r="D819" i="11"/>
  <c r="B819" i="11"/>
  <c r="E818" i="11"/>
  <c r="D818" i="11"/>
  <c r="B818" i="11"/>
  <c r="E817" i="11"/>
  <c r="D817" i="11"/>
  <c r="B817" i="11"/>
  <c r="E814" i="11"/>
  <c r="D814" i="11"/>
  <c r="B814" i="11"/>
  <c r="E813" i="11"/>
  <c r="D813" i="11"/>
  <c r="B813" i="11"/>
  <c r="E812" i="11"/>
  <c r="D812" i="11"/>
  <c r="B812" i="11"/>
  <c r="E811" i="11"/>
  <c r="D811" i="11"/>
  <c r="B811" i="11"/>
  <c r="E810" i="11"/>
  <c r="D810" i="11"/>
  <c r="B810" i="11"/>
  <c r="E809" i="11"/>
  <c r="D809" i="11"/>
  <c r="B809" i="11"/>
  <c r="E806" i="11"/>
  <c r="D806" i="11"/>
  <c r="B806" i="11"/>
  <c r="E805" i="11"/>
  <c r="D805" i="11"/>
  <c r="B805" i="11"/>
  <c r="E804" i="11"/>
  <c r="D804" i="11"/>
  <c r="B804" i="11"/>
  <c r="E803" i="11"/>
  <c r="D803" i="11"/>
  <c r="B803" i="11"/>
  <c r="E802" i="11"/>
  <c r="D802" i="11"/>
  <c r="B802" i="11"/>
  <c r="E801" i="11"/>
  <c r="D801" i="11"/>
  <c r="B801" i="11"/>
  <c r="E800" i="11"/>
  <c r="D800" i="11"/>
  <c r="B800" i="11"/>
  <c r="E798" i="11"/>
  <c r="D798" i="11"/>
  <c r="B798" i="11"/>
  <c r="E797" i="11"/>
  <c r="D797" i="11"/>
  <c r="B797" i="11"/>
  <c r="E796" i="11"/>
  <c r="D796" i="11"/>
  <c r="B796" i="11"/>
  <c r="E795" i="11"/>
  <c r="D795" i="11"/>
  <c r="B795" i="11"/>
  <c r="E794" i="11"/>
  <c r="D794" i="11"/>
  <c r="B794" i="11"/>
  <c r="E793" i="11"/>
  <c r="D793" i="11"/>
  <c r="B793" i="11"/>
  <c r="E792" i="11"/>
  <c r="D792" i="11"/>
  <c r="B792" i="11"/>
  <c r="E791" i="11"/>
  <c r="D791" i="11"/>
  <c r="B791" i="11"/>
  <c r="E790" i="11"/>
  <c r="D790" i="11"/>
  <c r="B790" i="11"/>
  <c r="E787" i="11"/>
  <c r="D787" i="11"/>
  <c r="B787" i="11"/>
  <c r="E786" i="11"/>
  <c r="D786" i="11"/>
  <c r="B786" i="11"/>
  <c r="E785" i="11"/>
  <c r="D785" i="11"/>
  <c r="B785" i="11"/>
  <c r="E784" i="11"/>
  <c r="D784" i="11"/>
  <c r="B784" i="11"/>
  <c r="E783" i="11"/>
  <c r="D783" i="11"/>
  <c r="B783" i="11"/>
  <c r="E782" i="11"/>
  <c r="D782" i="11"/>
  <c r="B782" i="11"/>
  <c r="B780" i="11"/>
  <c r="B779" i="11"/>
  <c r="B777" i="11"/>
  <c r="B776" i="11"/>
  <c r="B775" i="11"/>
  <c r="B773" i="11"/>
  <c r="B772" i="11"/>
  <c r="B771" i="11"/>
  <c r="B769" i="11"/>
  <c r="B768" i="11"/>
  <c r="B767" i="11"/>
  <c r="B765" i="11"/>
  <c r="B764" i="11"/>
  <c r="B763" i="11"/>
  <c r="B761" i="11"/>
  <c r="D758" i="11"/>
  <c r="C758" i="11"/>
  <c r="D757" i="11"/>
  <c r="C757" i="11"/>
  <c r="D756" i="11"/>
  <c r="C756" i="11"/>
  <c r="D755" i="11"/>
  <c r="C755" i="11"/>
  <c r="D752" i="11"/>
  <c r="C752" i="11"/>
  <c r="D751" i="11"/>
  <c r="C751" i="11"/>
  <c r="D750" i="11"/>
  <c r="C750" i="11"/>
  <c r="D749" i="11"/>
  <c r="C749" i="11"/>
  <c r="B745" i="11"/>
  <c r="B744" i="11"/>
  <c r="B742" i="11"/>
  <c r="B741" i="11"/>
  <c r="B740" i="11"/>
  <c r="B738" i="11"/>
  <c r="B737" i="11"/>
  <c r="B736" i="11"/>
  <c r="B734" i="11"/>
  <c r="B733" i="11"/>
  <c r="B732" i="11"/>
  <c r="B730" i="11"/>
  <c r="D727" i="11"/>
  <c r="C727" i="11"/>
  <c r="D726" i="11"/>
  <c r="C726" i="11"/>
  <c r="D725" i="11"/>
  <c r="C725" i="11"/>
  <c r="D724" i="11"/>
  <c r="C724" i="11"/>
  <c r="D723" i="11"/>
  <c r="C723" i="11"/>
  <c r="D722" i="11"/>
  <c r="C722" i="11"/>
  <c r="B719" i="11"/>
  <c r="B718" i="11"/>
  <c r="B716" i="11"/>
  <c r="B715" i="11"/>
  <c r="B714" i="11"/>
  <c r="B712" i="11"/>
  <c r="B711" i="11"/>
  <c r="B710" i="11"/>
  <c r="B708" i="11"/>
  <c r="D705" i="11"/>
  <c r="C705" i="11"/>
  <c r="D704" i="11"/>
  <c r="C704" i="11"/>
  <c r="D703" i="11"/>
  <c r="C703" i="11"/>
  <c r="D700" i="11"/>
  <c r="C700" i="11"/>
  <c r="D699" i="11"/>
  <c r="C699" i="11"/>
  <c r="D697" i="11"/>
  <c r="C697" i="11"/>
  <c r="D696" i="11"/>
  <c r="C696" i="11"/>
  <c r="D693" i="11"/>
  <c r="C693" i="11"/>
  <c r="D692" i="11"/>
  <c r="C692" i="11"/>
  <c r="D690" i="11"/>
  <c r="C690" i="11"/>
  <c r="D688" i="11"/>
  <c r="C688" i="11"/>
  <c r="D686" i="11"/>
  <c r="C686" i="11"/>
  <c r="D685" i="11"/>
  <c r="C685" i="11"/>
  <c r="D683" i="11"/>
  <c r="C683" i="11"/>
  <c r="D673" i="11"/>
  <c r="C673" i="11"/>
  <c r="D671" i="11"/>
  <c r="C671" i="11"/>
  <c r="D670" i="11"/>
  <c r="C670" i="11"/>
  <c r="D669" i="11"/>
  <c r="C669" i="11"/>
  <c r="D668" i="11"/>
  <c r="C668" i="11"/>
  <c r="D661" i="11"/>
  <c r="C661" i="11"/>
  <c r="D660" i="11"/>
  <c r="C660" i="11"/>
  <c r="D659" i="11"/>
  <c r="C659" i="11"/>
  <c r="D658" i="11"/>
  <c r="C658" i="11"/>
  <c r="G454" i="17"/>
  <c r="D1095" i="11" s="1"/>
  <c r="E454" i="17"/>
  <c r="C453" i="17"/>
  <c r="B1094" i="11" s="1"/>
  <c r="C452" i="17"/>
  <c r="B1093" i="11" s="1"/>
  <c r="C451" i="17"/>
  <c r="B1092" i="11" s="1"/>
  <c r="C450" i="17"/>
  <c r="B1091" i="11" s="1"/>
  <c r="C449" i="17"/>
  <c r="B1090" i="11" s="1"/>
  <c r="C448" i="17"/>
  <c r="B1089" i="11" s="1"/>
  <c r="C447" i="17"/>
  <c r="B1088" i="11" s="1"/>
  <c r="G444" i="17"/>
  <c r="E444" i="17"/>
  <c r="C443" i="17"/>
  <c r="B1086" i="11" s="1"/>
  <c r="C442" i="17"/>
  <c r="B1085" i="11" s="1"/>
  <c r="C441" i="17"/>
  <c r="B1084" i="11" s="1"/>
  <c r="C440" i="17"/>
  <c r="B1083" i="11" s="1"/>
  <c r="C439" i="17"/>
  <c r="B1082" i="11" s="1"/>
  <c r="C438" i="17"/>
  <c r="B1081" i="11" s="1"/>
  <c r="C437" i="17"/>
  <c r="B1080" i="11" s="1"/>
  <c r="C436" i="17"/>
  <c r="B1079" i="11" s="1"/>
  <c r="C435" i="17"/>
  <c r="B1078" i="11" s="1"/>
  <c r="C434" i="17"/>
  <c r="B1075" i="11" s="1"/>
  <c r="C433" i="17"/>
  <c r="B1074" i="11" s="1"/>
  <c r="C432" i="17"/>
  <c r="B1073" i="11" s="1"/>
  <c r="C431" i="17"/>
  <c r="B1072" i="11" s="1"/>
  <c r="C430" i="17"/>
  <c r="B1071" i="11" s="1"/>
  <c r="C429" i="17"/>
  <c r="B1070" i="11" s="1"/>
  <c r="G422" i="17"/>
  <c r="D1068" i="11" s="1"/>
  <c r="E422" i="17"/>
  <c r="C421" i="17"/>
  <c r="B1067" i="11" s="1"/>
  <c r="C420" i="17"/>
  <c r="B1066" i="11" s="1"/>
  <c r="C419" i="17"/>
  <c r="B1065" i="11" s="1"/>
  <c r="C418" i="17"/>
  <c r="B1064" i="11" s="1"/>
  <c r="C417" i="17"/>
  <c r="B1063" i="11" s="1"/>
  <c r="C416" i="17"/>
  <c r="B1062" i="11" s="1"/>
  <c r="C415" i="17"/>
  <c r="B1061" i="11" s="1"/>
  <c r="C407" i="17"/>
  <c r="B1055" i="11" s="1"/>
  <c r="C406" i="17"/>
  <c r="B1054" i="11" s="1"/>
  <c r="C405" i="17"/>
  <c r="B1053" i="11" s="1"/>
  <c r="C404" i="17"/>
  <c r="B1052" i="11" s="1"/>
  <c r="C403" i="17"/>
  <c r="B1051" i="11" s="1"/>
  <c r="C402" i="17"/>
  <c r="B1048" i="11" s="1"/>
  <c r="C401" i="17"/>
  <c r="B1047" i="11" s="1"/>
  <c r="C400" i="17"/>
  <c r="B1046" i="11" s="1"/>
  <c r="C399" i="17"/>
  <c r="B1045" i="11" s="1"/>
  <c r="C398" i="17"/>
  <c r="B1044" i="11" s="1"/>
  <c r="C397" i="17"/>
  <c r="B1043" i="11" s="1"/>
  <c r="G391" i="17"/>
  <c r="D1041" i="11" s="1"/>
  <c r="E391" i="17"/>
  <c r="C1041" i="11" s="1"/>
  <c r="C390" i="17"/>
  <c r="B1040" i="11" s="1"/>
  <c r="C389" i="17"/>
  <c r="B1039" i="11" s="1"/>
  <c r="C388" i="17"/>
  <c r="B1038" i="11" s="1"/>
  <c r="C387" i="17"/>
  <c r="B1037" i="11" s="1"/>
  <c r="C386" i="17"/>
  <c r="B1036" i="11" s="1"/>
  <c r="C385" i="17"/>
  <c r="B1035" i="11" s="1"/>
  <c r="C384" i="17"/>
  <c r="B1034" i="11" s="1"/>
  <c r="G381" i="17"/>
  <c r="D1033" i="11" s="1"/>
  <c r="E381" i="17"/>
  <c r="C380" i="17"/>
  <c r="B1032" i="11" s="1"/>
  <c r="C379" i="17"/>
  <c r="B1031" i="11" s="1"/>
  <c r="C378" i="17"/>
  <c r="B1030" i="11" s="1"/>
  <c r="C377" i="17"/>
  <c r="B1029" i="11" s="1"/>
  <c r="C376" i="17"/>
  <c r="B1028" i="11" s="1"/>
  <c r="C375" i="17"/>
  <c r="B1027" i="11" s="1"/>
  <c r="C374" i="17"/>
  <c r="B1026" i="11" s="1"/>
  <c r="C373" i="17"/>
  <c r="B1025" i="11" s="1"/>
  <c r="C372" i="17"/>
  <c r="B1024" i="11" s="1"/>
  <c r="C371" i="17"/>
  <c r="B1021" i="11" s="1"/>
  <c r="C370" i="17"/>
  <c r="B1020" i="11" s="1"/>
  <c r="C369" i="17"/>
  <c r="B1019" i="11" s="1"/>
  <c r="C368" i="17"/>
  <c r="B1018" i="11" s="1"/>
  <c r="C367" i="17"/>
  <c r="B1017" i="11" s="1"/>
  <c r="C366" i="17"/>
  <c r="B1016" i="11" s="1"/>
  <c r="G361" i="17"/>
  <c r="D1015" i="11" s="1"/>
  <c r="E361" i="17"/>
  <c r="C1015" i="11" s="1"/>
  <c r="C360" i="17"/>
  <c r="B1014" i="11" s="1"/>
  <c r="C359" i="17"/>
  <c r="B1013" i="11" s="1"/>
  <c r="C358" i="17"/>
  <c r="B1012" i="11" s="1"/>
  <c r="C357" i="17"/>
  <c r="B1011" i="11" s="1"/>
  <c r="C356" i="17"/>
  <c r="B1010" i="11" s="1"/>
  <c r="G352" i="17"/>
  <c r="D1009" i="11" s="1"/>
  <c r="E352" i="17"/>
  <c r="C1009" i="11" s="1"/>
  <c r="C351" i="17"/>
  <c r="B1008" i="11" s="1"/>
  <c r="C350" i="17"/>
  <c r="B1007" i="11" s="1"/>
  <c r="C349" i="17"/>
  <c r="B1006" i="11" s="1"/>
  <c r="G345" i="17"/>
  <c r="E1004" i="11" s="1"/>
  <c r="E345" i="17"/>
  <c r="C345" i="17" s="1"/>
  <c r="C1004" i="11" s="1"/>
  <c r="B345" i="17"/>
  <c r="B1004" i="11" s="1"/>
  <c r="C344" i="17"/>
  <c r="C1003" i="11" s="1"/>
  <c r="C343" i="17"/>
  <c r="C1002" i="11" s="1"/>
  <c r="C342" i="17"/>
  <c r="C1001" i="11" s="1"/>
  <c r="C341" i="17"/>
  <c r="C1000" i="11" s="1"/>
  <c r="C340" i="17"/>
  <c r="C999" i="11" s="1"/>
  <c r="C339" i="17"/>
  <c r="C998" i="11" s="1"/>
  <c r="C338" i="17"/>
  <c r="C997" i="11" s="1"/>
  <c r="C337" i="17"/>
  <c r="C996" i="11" s="1"/>
  <c r="C336" i="17"/>
  <c r="C995" i="11" s="1"/>
  <c r="C335" i="17"/>
  <c r="C994" i="11" s="1"/>
  <c r="C334" i="17"/>
  <c r="C993" i="11" s="1"/>
  <c r="G329" i="17"/>
  <c r="E991" i="11" s="1"/>
  <c r="E329" i="17"/>
  <c r="C329" i="17" s="1"/>
  <c r="C991" i="11" s="1"/>
  <c r="B329" i="17"/>
  <c r="B991" i="11" s="1"/>
  <c r="C328" i="17"/>
  <c r="C990" i="11" s="1"/>
  <c r="C327" i="17"/>
  <c r="C989" i="11" s="1"/>
  <c r="C326" i="17"/>
  <c r="C988" i="11" s="1"/>
  <c r="C325" i="17"/>
  <c r="C987" i="11" s="1"/>
  <c r="C324" i="17"/>
  <c r="C986" i="11" s="1"/>
  <c r="C323" i="17"/>
  <c r="C985" i="11" s="1"/>
  <c r="C322" i="17"/>
  <c r="C984" i="11" s="1"/>
  <c r="G319" i="17"/>
  <c r="E319" i="17"/>
  <c r="D983" i="11" s="1"/>
  <c r="B319" i="17"/>
  <c r="C318" i="17"/>
  <c r="C982" i="11" s="1"/>
  <c r="C317" i="17"/>
  <c r="C981" i="11" s="1"/>
  <c r="C316" i="17"/>
  <c r="C980" i="11" s="1"/>
  <c r="C315" i="17"/>
  <c r="C979" i="11" s="1"/>
  <c r="C314" i="17"/>
  <c r="C978" i="11" s="1"/>
  <c r="C313" i="17"/>
  <c r="C977" i="11" s="1"/>
  <c r="C312" i="17"/>
  <c r="C976" i="11" s="1"/>
  <c r="C311" i="17"/>
  <c r="C975" i="11" s="1"/>
  <c r="C310" i="17"/>
  <c r="C974" i="11" s="1"/>
  <c r="C309" i="17"/>
  <c r="C971" i="11" s="1"/>
  <c r="C308" i="17"/>
  <c r="C970" i="11" s="1"/>
  <c r="C307" i="17"/>
  <c r="C969" i="11" s="1"/>
  <c r="C306" i="17"/>
  <c r="C968" i="11" s="1"/>
  <c r="C305" i="17"/>
  <c r="C967" i="11" s="1"/>
  <c r="C304" i="17"/>
  <c r="C966" i="11" s="1"/>
  <c r="C298" i="17"/>
  <c r="B960" i="11" s="1"/>
  <c r="C297" i="17"/>
  <c r="B956" i="11" s="1"/>
  <c r="C296" i="17"/>
  <c r="B952" i="11" s="1"/>
  <c r="C295" i="17"/>
  <c r="B948" i="11" s="1"/>
  <c r="C294" i="17"/>
  <c r="B944" i="11" s="1"/>
  <c r="C293" i="17"/>
  <c r="B940" i="11" s="1"/>
  <c r="C292" i="17"/>
  <c r="B936" i="11" s="1"/>
  <c r="C291" i="17"/>
  <c r="B932" i="11" s="1"/>
  <c r="C290" i="17"/>
  <c r="B928" i="11" s="1"/>
  <c r="C289" i="17"/>
  <c r="B924" i="11" s="1"/>
  <c r="G288" i="17"/>
  <c r="D921" i="11" s="1"/>
  <c r="E288" i="17"/>
  <c r="C921" i="11" s="1"/>
  <c r="C287" i="17"/>
  <c r="B920" i="11" s="1"/>
  <c r="C286" i="17"/>
  <c r="B919" i="11" s="1"/>
  <c r="C285" i="17"/>
  <c r="B918" i="11" s="1"/>
  <c r="C284" i="17"/>
  <c r="B917" i="11" s="1"/>
  <c r="C283" i="17"/>
  <c r="B916" i="11" s="1"/>
  <c r="C282" i="17"/>
  <c r="B915" i="11" s="1"/>
  <c r="C281" i="17"/>
  <c r="B914" i="11" s="1"/>
  <c r="C280" i="17"/>
  <c r="B913" i="11" s="1"/>
  <c r="C279" i="17"/>
  <c r="B912" i="11" s="1"/>
  <c r="G278" i="17"/>
  <c r="E278" i="17"/>
  <c r="C272" i="17"/>
  <c r="B909" i="11" s="1"/>
  <c r="C271" i="17"/>
  <c r="B908" i="11" s="1"/>
  <c r="C270" i="17"/>
  <c r="B907" i="11" s="1"/>
  <c r="C269" i="17"/>
  <c r="B906" i="11" s="1"/>
  <c r="C268" i="17"/>
  <c r="B905" i="11" s="1"/>
  <c r="C267" i="17"/>
  <c r="B904" i="11" s="1"/>
  <c r="G266" i="17"/>
  <c r="G273" i="17" s="1"/>
  <c r="E266" i="17"/>
  <c r="C265" i="17"/>
  <c r="B902" i="11" s="1"/>
  <c r="C259" i="17"/>
  <c r="B900" i="11" s="1"/>
  <c r="C258" i="17"/>
  <c r="B899" i="11" s="1"/>
  <c r="C257" i="17"/>
  <c r="B898" i="11" s="1"/>
  <c r="G256" i="17"/>
  <c r="E256" i="17"/>
  <c r="C255" i="17"/>
  <c r="B896" i="11" s="1"/>
  <c r="C254" i="17"/>
  <c r="B895" i="11" s="1"/>
  <c r="C253" i="17"/>
  <c r="B894" i="11" s="1"/>
  <c r="C252" i="17"/>
  <c r="B893" i="11" s="1"/>
  <c r="C251" i="17"/>
  <c r="B892" i="11" s="1"/>
  <c r="C250" i="17"/>
  <c r="B891" i="11" s="1"/>
  <c r="G244" i="17"/>
  <c r="E244" i="17"/>
  <c r="C243" i="17"/>
  <c r="B888" i="11" s="1"/>
  <c r="C242" i="17"/>
  <c r="B887" i="11" s="1"/>
  <c r="C241" i="17"/>
  <c r="B886" i="11" s="1"/>
  <c r="C240" i="17"/>
  <c r="B885" i="11" s="1"/>
  <c r="C239" i="17"/>
  <c r="B884" i="11" s="1"/>
  <c r="C238" i="17"/>
  <c r="B883" i="11" s="1"/>
  <c r="C237" i="17"/>
  <c r="B882" i="11" s="1"/>
  <c r="G234" i="17"/>
  <c r="E234" i="17"/>
  <c r="C233" i="17"/>
  <c r="B880" i="11" s="1"/>
  <c r="C232" i="17"/>
  <c r="B879" i="11" s="1"/>
  <c r="C231" i="17"/>
  <c r="B878" i="11" s="1"/>
  <c r="C230" i="17"/>
  <c r="B877" i="11" s="1"/>
  <c r="C229" i="17"/>
  <c r="B876" i="11" s="1"/>
  <c r="C228" i="17"/>
  <c r="B875" i="11" s="1"/>
  <c r="C227" i="17"/>
  <c r="B874" i="11" s="1"/>
  <c r="C226" i="17"/>
  <c r="B873" i="11" s="1"/>
  <c r="C225" i="17"/>
  <c r="B872" i="11" s="1"/>
  <c r="C224" i="17"/>
  <c r="B869" i="11" s="1"/>
  <c r="C223" i="17"/>
  <c r="B868" i="11" s="1"/>
  <c r="C222" i="17"/>
  <c r="B867" i="11" s="1"/>
  <c r="C221" i="17"/>
  <c r="B866" i="11" s="1"/>
  <c r="C220" i="17"/>
  <c r="B865" i="11" s="1"/>
  <c r="C219" i="17"/>
  <c r="B864" i="11" s="1"/>
  <c r="G211" i="17"/>
  <c r="D862" i="11" s="1"/>
  <c r="E211" i="17"/>
  <c r="C210" i="17"/>
  <c r="B861" i="11" s="1"/>
  <c r="C209" i="17"/>
  <c r="B860" i="11" s="1"/>
  <c r="C208" i="17"/>
  <c r="B859" i="11" s="1"/>
  <c r="C207" i="17"/>
  <c r="B858" i="11" s="1"/>
  <c r="C206" i="17"/>
  <c r="B857" i="11" s="1"/>
  <c r="C205" i="17"/>
  <c r="B856" i="11" s="1"/>
  <c r="C204" i="17"/>
  <c r="B855" i="11" s="1"/>
  <c r="G201" i="17"/>
  <c r="D854" i="11" s="1"/>
  <c r="E201" i="17"/>
  <c r="C854" i="11" s="1"/>
  <c r="C200" i="17"/>
  <c r="B853" i="11" s="1"/>
  <c r="C199" i="17"/>
  <c r="B852" i="11" s="1"/>
  <c r="C198" i="17"/>
  <c r="B851" i="11" s="1"/>
  <c r="C197" i="17"/>
  <c r="B850" i="11" s="1"/>
  <c r="C196" i="17"/>
  <c r="B849" i="11" s="1"/>
  <c r="C195" i="17"/>
  <c r="B848" i="11" s="1"/>
  <c r="C194" i="17"/>
  <c r="B847" i="11" s="1"/>
  <c r="C193" i="17"/>
  <c r="B846" i="11" s="1"/>
  <c r="C192" i="17"/>
  <c r="B845" i="11" s="1"/>
  <c r="C191" i="17"/>
  <c r="B842" i="11" s="1"/>
  <c r="C190" i="17"/>
  <c r="B841" i="11" s="1"/>
  <c r="C189" i="17"/>
  <c r="B840" i="11" s="1"/>
  <c r="C188" i="17"/>
  <c r="B839" i="11" s="1"/>
  <c r="C187" i="17"/>
  <c r="B838" i="11" s="1"/>
  <c r="C186" i="17"/>
  <c r="B837" i="11" s="1"/>
  <c r="G178" i="17"/>
  <c r="E834" i="11" s="1"/>
  <c r="E178" i="17"/>
  <c r="B178" i="17"/>
  <c r="B834" i="11" s="1"/>
  <c r="C177" i="17"/>
  <c r="C833" i="11" s="1"/>
  <c r="C176" i="17"/>
  <c r="C832" i="11" s="1"/>
  <c r="C175" i="17"/>
  <c r="C831" i="11" s="1"/>
  <c r="C174" i="17"/>
  <c r="C830" i="11" s="1"/>
  <c r="C173" i="17"/>
  <c r="C829" i="11" s="1"/>
  <c r="C172" i="17"/>
  <c r="C828" i="11" s="1"/>
  <c r="C171" i="17"/>
  <c r="C827" i="11" s="1"/>
  <c r="G168" i="17"/>
  <c r="G180" i="17" s="1"/>
  <c r="E835" i="11" s="1"/>
  <c r="E168" i="17"/>
  <c r="B168" i="17"/>
  <c r="C167" i="17"/>
  <c r="C825" i="11" s="1"/>
  <c r="C166" i="17"/>
  <c r="C824" i="11" s="1"/>
  <c r="C165" i="17"/>
  <c r="C823" i="11" s="1"/>
  <c r="C164" i="17"/>
  <c r="C822" i="11" s="1"/>
  <c r="C163" i="17"/>
  <c r="C821" i="11" s="1"/>
  <c r="C162" i="17"/>
  <c r="C820" i="11" s="1"/>
  <c r="C161" i="17"/>
  <c r="C819" i="11" s="1"/>
  <c r="C160" i="17"/>
  <c r="C818" i="11" s="1"/>
  <c r="C159" i="17"/>
  <c r="C817" i="11" s="1"/>
  <c r="C158" i="17"/>
  <c r="C814" i="11" s="1"/>
  <c r="C157" i="17"/>
  <c r="C813" i="11" s="1"/>
  <c r="C156" i="17"/>
  <c r="C812" i="11" s="1"/>
  <c r="C155" i="17"/>
  <c r="C811" i="11" s="1"/>
  <c r="C154" i="17"/>
  <c r="C810" i="11" s="1"/>
  <c r="C153" i="17"/>
  <c r="C809" i="11" s="1"/>
  <c r="G146" i="17"/>
  <c r="E807" i="11" s="1"/>
  <c r="E146" i="17"/>
  <c r="D807" i="11" s="1"/>
  <c r="B146" i="17"/>
  <c r="C145" i="17"/>
  <c r="C806" i="11" s="1"/>
  <c r="C144" i="17"/>
  <c r="C805" i="11" s="1"/>
  <c r="C143" i="17"/>
  <c r="C804" i="11" s="1"/>
  <c r="C142" i="17"/>
  <c r="C803" i="11" s="1"/>
  <c r="C141" i="17"/>
  <c r="C802" i="11" s="1"/>
  <c r="C140" i="17"/>
  <c r="C801" i="11" s="1"/>
  <c r="C139" i="17"/>
  <c r="C800" i="11" s="1"/>
  <c r="G136" i="17"/>
  <c r="E136" i="17"/>
  <c r="B136" i="17"/>
  <c r="B799" i="11" s="1"/>
  <c r="C135" i="17"/>
  <c r="C798" i="11" s="1"/>
  <c r="C134" i="17"/>
  <c r="C797" i="11" s="1"/>
  <c r="C133" i="17"/>
  <c r="C796" i="11" s="1"/>
  <c r="C132" i="17"/>
  <c r="C795" i="11" s="1"/>
  <c r="C131" i="17"/>
  <c r="C794" i="11" s="1"/>
  <c r="C130" i="17"/>
  <c r="C793" i="11" s="1"/>
  <c r="C129" i="17"/>
  <c r="C792" i="11" s="1"/>
  <c r="C128" i="17"/>
  <c r="C791" i="11" s="1"/>
  <c r="C127" i="17"/>
  <c r="C790" i="11" s="1"/>
  <c r="C126" i="17"/>
  <c r="C787" i="11" s="1"/>
  <c r="C125" i="17"/>
  <c r="C786" i="11" s="1"/>
  <c r="C124" i="17"/>
  <c r="C785" i="11" s="1"/>
  <c r="C123" i="17"/>
  <c r="C784" i="11" s="1"/>
  <c r="C122" i="17"/>
  <c r="C783" i="11" s="1"/>
  <c r="C121" i="17"/>
  <c r="C782" i="11" s="1"/>
  <c r="C112" i="17"/>
  <c r="B778" i="11" s="1"/>
  <c r="C111" i="17"/>
  <c r="B774" i="11" s="1"/>
  <c r="C110" i="17"/>
  <c r="B770" i="11" s="1"/>
  <c r="C109" i="17"/>
  <c r="B766" i="11" s="1"/>
  <c r="C108" i="17"/>
  <c r="B762" i="11" s="1"/>
  <c r="G107" i="17"/>
  <c r="D759" i="11" s="1"/>
  <c r="E107" i="17"/>
  <c r="C107" i="17" s="1"/>
  <c r="B759" i="11" s="1"/>
  <c r="C106" i="17"/>
  <c r="B758" i="11" s="1"/>
  <c r="C105" i="17"/>
  <c r="B757" i="11" s="1"/>
  <c r="C104" i="17"/>
  <c r="B756" i="11" s="1"/>
  <c r="C103" i="17"/>
  <c r="B755" i="11" s="1"/>
  <c r="G102" i="17"/>
  <c r="D754" i="11" s="1"/>
  <c r="E102" i="17"/>
  <c r="C754" i="11" s="1"/>
  <c r="C101" i="17"/>
  <c r="B752" i="11" s="1"/>
  <c r="C100" i="17"/>
  <c r="B751" i="11" s="1"/>
  <c r="C99" i="17"/>
  <c r="B750" i="11" s="1"/>
  <c r="C98" i="17"/>
  <c r="B749" i="11" s="1"/>
  <c r="G97" i="17"/>
  <c r="E97" i="17"/>
  <c r="C748" i="11" s="1"/>
  <c r="C90" i="17"/>
  <c r="B743" i="11" s="1"/>
  <c r="C89" i="17"/>
  <c r="B739" i="11" s="1"/>
  <c r="C88" i="17"/>
  <c r="B735" i="11" s="1"/>
  <c r="C87" i="17"/>
  <c r="B731" i="11" s="1"/>
  <c r="G86" i="17"/>
  <c r="D728" i="11" s="1"/>
  <c r="E86" i="17"/>
  <c r="E92" i="17" s="1"/>
  <c r="C747" i="11" s="1"/>
  <c r="C85" i="17"/>
  <c r="B727" i="11" s="1"/>
  <c r="C84" i="17"/>
  <c r="B726" i="11" s="1"/>
  <c r="C83" i="17"/>
  <c r="B725" i="11" s="1"/>
  <c r="C82" i="17"/>
  <c r="B724" i="11" s="1"/>
  <c r="C81" i="17"/>
  <c r="B723" i="11" s="1"/>
  <c r="C80" i="17"/>
  <c r="B722" i="11" s="1"/>
  <c r="C73" i="17"/>
  <c r="B717" i="11" s="1"/>
  <c r="C72" i="17"/>
  <c r="B713" i="11" s="1"/>
  <c r="C71" i="17"/>
  <c r="B709" i="11" s="1"/>
  <c r="G70" i="17"/>
  <c r="D706" i="11" s="1"/>
  <c r="E70" i="17"/>
  <c r="C706" i="11" s="1"/>
  <c r="C69" i="17"/>
  <c r="B705" i="11" s="1"/>
  <c r="C68" i="17"/>
  <c r="B704" i="11" s="1"/>
  <c r="C67" i="17"/>
  <c r="B703" i="11" s="1"/>
  <c r="G66" i="17"/>
  <c r="G65" i="17" s="1"/>
  <c r="D701" i="11" s="1"/>
  <c r="E66" i="17"/>
  <c r="E65" i="17" s="1"/>
  <c r="C701" i="11" s="1"/>
  <c r="C64" i="17"/>
  <c r="B700" i="11" s="1"/>
  <c r="C63" i="17"/>
  <c r="B699" i="11" s="1"/>
  <c r="G62" i="17"/>
  <c r="D698" i="11" s="1"/>
  <c r="E62" i="17"/>
  <c r="C61" i="17"/>
  <c r="B697" i="11" s="1"/>
  <c r="C60" i="17"/>
  <c r="B696" i="11" s="1"/>
  <c r="G59" i="17"/>
  <c r="D695" i="11" s="1"/>
  <c r="E59" i="17"/>
  <c r="G51" i="17"/>
  <c r="D694" i="11" s="1"/>
  <c r="E51" i="17"/>
  <c r="C50" i="17"/>
  <c r="B693" i="11" s="1"/>
  <c r="C49" i="17"/>
  <c r="B692" i="11" s="1"/>
  <c r="C46" i="17"/>
  <c r="B690" i="11" s="1"/>
  <c r="C44" i="17"/>
  <c r="B688" i="11" s="1"/>
  <c r="C42" i="17"/>
  <c r="B686" i="11" s="1"/>
  <c r="C41" i="17"/>
  <c r="B685" i="11" s="1"/>
  <c r="C39" i="17"/>
  <c r="B683" i="11" s="1"/>
  <c r="G31" i="17"/>
  <c r="D677" i="11" s="1"/>
  <c r="G30" i="17"/>
  <c r="D676" i="11" s="1"/>
  <c r="C27" i="17"/>
  <c r="B673" i="11" s="1"/>
  <c r="C25" i="17"/>
  <c r="B671" i="11" s="1"/>
  <c r="C24" i="17"/>
  <c r="B670" i="11" s="1"/>
  <c r="C23" i="17"/>
  <c r="B669" i="11" s="1"/>
  <c r="C22" i="17"/>
  <c r="B668" i="11" s="1"/>
  <c r="C12" i="17"/>
  <c r="B661" i="11" s="1"/>
  <c r="C11" i="17"/>
  <c r="B660" i="11" s="1"/>
  <c r="C10" i="17"/>
  <c r="B659" i="11" s="1"/>
  <c r="C9" i="17"/>
  <c r="B658" i="11" s="1"/>
  <c r="G148" i="17" l="1"/>
  <c r="G14" i="17" s="1"/>
  <c r="D663" i="11" s="1"/>
  <c r="E299" i="17"/>
  <c r="C964" i="11" s="1"/>
  <c r="C70" i="17"/>
  <c r="B706" i="11" s="1"/>
  <c r="G114" i="17"/>
  <c r="G13" i="17" s="1"/>
  <c r="D662" i="11" s="1"/>
  <c r="C234" i="17"/>
  <c r="B881" i="11" s="1"/>
  <c r="C59" i="17"/>
  <c r="B695" i="11" s="1"/>
  <c r="G92" i="17"/>
  <c r="G8" i="17" s="1"/>
  <c r="D657" i="11" s="1"/>
  <c r="C168" i="17"/>
  <c r="C826" i="11" s="1"/>
  <c r="E213" i="17"/>
  <c r="C278" i="17"/>
  <c r="B911" i="11" s="1"/>
  <c r="C288" i="17"/>
  <c r="B921" i="11" s="1"/>
  <c r="D910" i="11"/>
  <c r="G26" i="17"/>
  <c r="D672" i="11" s="1"/>
  <c r="C51" i="17"/>
  <c r="B694" i="11" s="1"/>
  <c r="C694" i="11"/>
  <c r="B148" i="17"/>
  <c r="B808" i="11" s="1"/>
  <c r="B807" i="11"/>
  <c r="E15" i="17"/>
  <c r="C863" i="11"/>
  <c r="C256" i="17"/>
  <c r="B897" i="11" s="1"/>
  <c r="C897" i="11"/>
  <c r="B331" i="17"/>
  <c r="B992" i="11" s="1"/>
  <c r="B983" i="11"/>
  <c r="D702" i="11"/>
  <c r="D826" i="11"/>
  <c r="E30" i="17"/>
  <c r="C102" i="17"/>
  <c r="B754" i="11" s="1"/>
  <c r="C146" i="17"/>
  <c r="C807" i="11" s="1"/>
  <c r="G246" i="17"/>
  <c r="D889" i="11"/>
  <c r="G260" i="17"/>
  <c r="D897" i="11"/>
  <c r="C319" i="17"/>
  <c r="C983" i="11" s="1"/>
  <c r="C381" i="17"/>
  <c r="E393" i="17"/>
  <c r="C1033" i="11"/>
  <c r="G456" i="17"/>
  <c r="D1087" i="11"/>
  <c r="C454" i="17"/>
  <c r="B1095" i="11" s="1"/>
  <c r="C1095" i="11"/>
  <c r="C728" i="11"/>
  <c r="D748" i="11"/>
  <c r="E826" i="11"/>
  <c r="D881" i="11"/>
  <c r="C911" i="11"/>
  <c r="E75" i="17"/>
  <c r="C721" i="11" s="1"/>
  <c r="B180" i="17"/>
  <c r="B835" i="11" s="1"/>
  <c r="B826" i="11"/>
  <c r="C178" i="17"/>
  <c r="C834" i="11" s="1"/>
  <c r="D834" i="11"/>
  <c r="G213" i="17"/>
  <c r="C266" i="17"/>
  <c r="B903" i="11" s="1"/>
  <c r="G299" i="17"/>
  <c r="D911" i="11"/>
  <c r="G393" i="17"/>
  <c r="C391" i="17"/>
  <c r="B1041" i="11" s="1"/>
  <c r="E799" i="11"/>
  <c r="D1004" i="11"/>
  <c r="C244" i="17"/>
  <c r="B889" i="11" s="1"/>
  <c r="C889" i="11"/>
  <c r="E456" i="17"/>
  <c r="C1087" i="11"/>
  <c r="C444" i="17"/>
  <c r="D903" i="11"/>
  <c r="E31" i="17"/>
  <c r="C66" i="17"/>
  <c r="B702" i="11" s="1"/>
  <c r="E148" i="17"/>
  <c r="D808" i="11" s="1"/>
  <c r="D799" i="11"/>
  <c r="C201" i="17"/>
  <c r="B854" i="11" s="1"/>
  <c r="E246" i="17"/>
  <c r="C881" i="11"/>
  <c r="E273" i="17"/>
  <c r="C910" i="11" s="1"/>
  <c r="C903" i="11"/>
  <c r="G331" i="17"/>
  <c r="E983" i="11"/>
  <c r="C352" i="17"/>
  <c r="B1009" i="11" s="1"/>
  <c r="C361" i="17"/>
  <c r="B1015" i="11" s="1"/>
  <c r="C422" i="17"/>
  <c r="B1068" i="11" s="1"/>
  <c r="C1068" i="11"/>
  <c r="C695" i="11"/>
  <c r="C698" i="11"/>
  <c r="C702" i="11"/>
  <c r="D747" i="11"/>
  <c r="C759" i="11"/>
  <c r="E808" i="11"/>
  <c r="C862" i="11"/>
  <c r="D991" i="11"/>
  <c r="C299" i="17"/>
  <c r="B964" i="11" s="1"/>
  <c r="E28" i="17"/>
  <c r="C331" i="17"/>
  <c r="C992" i="11" s="1"/>
  <c r="C65" i="17"/>
  <c r="B701" i="11" s="1"/>
  <c r="C246" i="17"/>
  <c r="B890" i="11" s="1"/>
  <c r="C92" i="17"/>
  <c r="B747" i="11" s="1"/>
  <c r="E8" i="17"/>
  <c r="G75" i="17"/>
  <c r="C180" i="17"/>
  <c r="C835" i="11" s="1"/>
  <c r="E331" i="17"/>
  <c r="C97" i="17"/>
  <c r="B748" i="11" s="1"/>
  <c r="E260" i="17"/>
  <c r="C901" i="11" s="1"/>
  <c r="C62" i="17"/>
  <c r="B698" i="11" s="1"/>
  <c r="C136" i="17"/>
  <c r="E114" i="17"/>
  <c r="E180" i="17"/>
  <c r="C86" i="17"/>
  <c r="B728" i="11" s="1"/>
  <c r="C211" i="17"/>
  <c r="E26" i="17" l="1"/>
  <c r="C26" i="17" s="1"/>
  <c r="B672" i="11" s="1"/>
  <c r="C273" i="17"/>
  <c r="B910" i="11" s="1"/>
  <c r="G29" i="17"/>
  <c r="D675" i="11" s="1"/>
  <c r="E992" i="11"/>
  <c r="C213" i="17"/>
  <c r="B863" i="11" s="1"/>
  <c r="B862" i="11"/>
  <c r="E29" i="17"/>
  <c r="D992" i="11"/>
  <c r="E14" i="17"/>
  <c r="D835" i="11"/>
  <c r="E7" i="17"/>
  <c r="C656" i="11" s="1"/>
  <c r="C456" i="17"/>
  <c r="B1096" i="11" s="1"/>
  <c r="B1087" i="11"/>
  <c r="G32" i="17"/>
  <c r="D678" i="11" s="1"/>
  <c r="D1042" i="11"/>
  <c r="G15" i="17"/>
  <c r="D664" i="11" s="1"/>
  <c r="D863" i="11"/>
  <c r="E32" i="17"/>
  <c r="C1042" i="11"/>
  <c r="G21" i="17"/>
  <c r="D667" i="11" s="1"/>
  <c r="D901" i="11"/>
  <c r="C148" i="17"/>
  <c r="C808" i="11" s="1"/>
  <c r="C799" i="11"/>
  <c r="C674" i="11"/>
  <c r="C31" i="17"/>
  <c r="B677" i="11" s="1"/>
  <c r="C677" i="11"/>
  <c r="E34" i="17"/>
  <c r="C1096" i="11"/>
  <c r="G28" i="17"/>
  <c r="D674" i="11" s="1"/>
  <c r="D964" i="11"/>
  <c r="G34" i="17"/>
  <c r="D680" i="11" s="1"/>
  <c r="D1096" i="11"/>
  <c r="G16" i="17"/>
  <c r="D665" i="11" s="1"/>
  <c r="D890" i="11"/>
  <c r="C8" i="17"/>
  <c r="B657" i="11" s="1"/>
  <c r="C657" i="11"/>
  <c r="E16" i="17"/>
  <c r="C890" i="11"/>
  <c r="C393" i="17"/>
  <c r="B1042" i="11" s="1"/>
  <c r="B1033" i="11"/>
  <c r="C30" i="17"/>
  <c r="B676" i="11" s="1"/>
  <c r="C676" i="11"/>
  <c r="C664" i="11"/>
  <c r="C672" i="11"/>
  <c r="G7" i="17"/>
  <c r="C7" i="17" s="1"/>
  <c r="B656" i="11" s="1"/>
  <c r="D721" i="11"/>
  <c r="C75" i="17"/>
  <c r="B721" i="11" s="1"/>
  <c r="C114" i="17"/>
  <c r="E13" i="17"/>
  <c r="C260" i="17"/>
  <c r="B901" i="11" s="1"/>
  <c r="E21" i="17"/>
  <c r="C667" i="11" s="1"/>
  <c r="C15" i="17" l="1"/>
  <c r="B664" i="11" s="1"/>
  <c r="C665" i="11"/>
  <c r="C16" i="17"/>
  <c r="B665" i="11" s="1"/>
  <c r="C13" i="17"/>
  <c r="B662" i="11" s="1"/>
  <c r="C662" i="11"/>
  <c r="C14" i="17"/>
  <c r="B663" i="11" s="1"/>
  <c r="C663" i="11"/>
  <c r="G17" i="17"/>
  <c r="D666" i="11" s="1"/>
  <c r="D656" i="11"/>
  <c r="C34" i="17"/>
  <c r="B680" i="11" s="1"/>
  <c r="C680" i="11"/>
  <c r="C28" i="17"/>
  <c r="B674" i="11" s="1"/>
  <c r="C32" i="17"/>
  <c r="B678" i="11" s="1"/>
  <c r="C678" i="11"/>
  <c r="C29" i="17"/>
  <c r="B675" i="11" s="1"/>
  <c r="C675" i="11"/>
  <c r="C21" i="17"/>
  <c r="B667" i="11" s="1"/>
  <c r="E17" i="17"/>
  <c r="C666" i="11" s="1"/>
  <c r="C17" i="17" l="1"/>
  <c r="B666" i="11" s="1"/>
  <c r="J414" i="2" l="1"/>
  <c r="H414" i="2"/>
  <c r="F414" i="2"/>
  <c r="D414" i="2"/>
  <c r="B447" i="11" l="1"/>
  <c r="B446" i="11"/>
  <c r="B445" i="11"/>
  <c r="B444" i="11"/>
  <c r="B442" i="11"/>
  <c r="B441" i="11"/>
  <c r="B440" i="11"/>
  <c r="B439" i="11"/>
  <c r="B438" i="11"/>
  <c r="B436" i="11"/>
  <c r="F469" i="11"/>
  <c r="F468" i="11"/>
  <c r="F466" i="11"/>
  <c r="F465" i="11"/>
  <c r="F464" i="11"/>
  <c r="F463" i="11"/>
  <c r="F462" i="11"/>
  <c r="E469" i="11"/>
  <c r="E468" i="11"/>
  <c r="E466" i="11"/>
  <c r="E465" i="11"/>
  <c r="E464" i="11"/>
  <c r="E463" i="11"/>
  <c r="E462" i="11"/>
  <c r="D469" i="11"/>
  <c r="D468" i="11"/>
  <c r="D466" i="11"/>
  <c r="D465" i="11"/>
  <c r="D464" i="11"/>
  <c r="D463" i="11"/>
  <c r="D462" i="11"/>
  <c r="C468" i="11"/>
  <c r="C469" i="11"/>
  <c r="C466" i="11"/>
  <c r="C465" i="11"/>
  <c r="C464" i="11"/>
  <c r="C463" i="11"/>
  <c r="C462" i="11"/>
  <c r="B383" i="2"/>
  <c r="B468" i="11" s="1"/>
  <c r="B384" i="2"/>
  <c r="B469" i="11" s="1"/>
  <c r="B387" i="2"/>
  <c r="B443" i="11" s="1"/>
  <c r="B386" i="2"/>
  <c r="B437" i="11" s="1"/>
  <c r="J385" i="2"/>
  <c r="H385" i="2"/>
  <c r="E470" i="11" s="1"/>
  <c r="F385" i="2"/>
  <c r="D385" i="2"/>
  <c r="C470" i="11" s="1"/>
  <c r="J382" i="2"/>
  <c r="F467" i="11" s="1"/>
  <c r="H382" i="2"/>
  <c r="E467" i="11" s="1"/>
  <c r="F382" i="2"/>
  <c r="D467" i="11" s="1"/>
  <c r="D382" i="2"/>
  <c r="B381" i="2"/>
  <c r="B466" i="11" s="1"/>
  <c r="B380" i="2"/>
  <c r="B465" i="11" s="1"/>
  <c r="B379" i="2"/>
  <c r="B464" i="11" s="1"/>
  <c r="B378" i="2"/>
  <c r="B463" i="11" s="1"/>
  <c r="B377" i="2"/>
  <c r="B462" i="11" s="1"/>
  <c r="D388" i="2" l="1"/>
  <c r="C471" i="11" s="1"/>
  <c r="F388" i="2"/>
  <c r="D471" i="11" s="1"/>
  <c r="J388" i="2"/>
  <c r="F471" i="11" s="1"/>
  <c r="D470" i="11"/>
  <c r="F470" i="11"/>
  <c r="H388" i="2"/>
  <c r="E471" i="11" s="1"/>
  <c r="C467" i="11"/>
  <c r="B382" i="2"/>
  <c r="B467" i="11" s="1"/>
  <c r="B385" i="2"/>
  <c r="B470" i="11" s="1"/>
  <c r="C23" i="8" l="1"/>
  <c r="B515" i="2" l="1"/>
  <c r="B514" i="2"/>
  <c r="B513" i="2"/>
  <c r="B511" i="2"/>
  <c r="B510" i="2"/>
  <c r="B509" i="2"/>
  <c r="B507" i="2"/>
  <c r="B506" i="2"/>
  <c r="B504" i="2"/>
  <c r="B503" i="2"/>
  <c r="B502" i="2"/>
  <c r="B500" i="2"/>
  <c r="C611" i="11"/>
  <c r="C610" i="11"/>
  <c r="C609" i="11"/>
  <c r="C607" i="11"/>
  <c r="C606" i="11"/>
  <c r="C605" i="11"/>
  <c r="C603" i="11"/>
  <c r="C602" i="11"/>
  <c r="C600" i="11"/>
  <c r="C599" i="11"/>
  <c r="C598" i="11"/>
  <c r="C596" i="11"/>
  <c r="C595" i="11"/>
  <c r="D611" i="11"/>
  <c r="D610" i="11"/>
  <c r="D609" i="11"/>
  <c r="D607" i="11"/>
  <c r="D606" i="11"/>
  <c r="D605" i="11"/>
  <c r="D603" i="11"/>
  <c r="D602" i="11"/>
  <c r="D600" i="11"/>
  <c r="D599" i="11"/>
  <c r="D598" i="11"/>
  <c r="D596" i="11"/>
  <c r="D595" i="11"/>
  <c r="B499" i="2"/>
  <c r="D512" i="2"/>
  <c r="D508" i="2"/>
  <c r="C604" i="11" s="1"/>
  <c r="D505" i="2"/>
  <c r="C601" i="11" s="1"/>
  <c r="D501" i="2"/>
  <c r="D516" i="2" l="1"/>
  <c r="C612" i="11" s="1"/>
  <c r="C608" i="11"/>
  <c r="C597" i="11"/>
  <c r="F392" i="11" l="1"/>
  <c r="F391" i="11"/>
  <c r="F390" i="11"/>
  <c r="F389" i="11"/>
  <c r="F388" i="11"/>
  <c r="F387" i="11"/>
  <c r="F386" i="11"/>
  <c r="F385" i="11"/>
  <c r="F384" i="11"/>
  <c r="E392" i="11"/>
  <c r="E391" i="11"/>
  <c r="E390" i="11"/>
  <c r="E389" i="11"/>
  <c r="E388" i="11"/>
  <c r="E387" i="11"/>
  <c r="E386" i="11"/>
  <c r="E385" i="11"/>
  <c r="E384" i="11"/>
  <c r="D392" i="11"/>
  <c r="D391" i="11"/>
  <c r="D390" i="11"/>
  <c r="D389" i="11"/>
  <c r="D388" i="11"/>
  <c r="D387" i="11"/>
  <c r="D386" i="11"/>
  <c r="D385" i="11"/>
  <c r="D384" i="11"/>
  <c r="C392" i="11"/>
  <c r="C391" i="11"/>
  <c r="C390" i="11"/>
  <c r="C389" i="11"/>
  <c r="C388" i="11"/>
  <c r="C387" i="11"/>
  <c r="C386" i="11"/>
  <c r="C385" i="11"/>
  <c r="C384" i="11"/>
  <c r="B317" i="2" l="1"/>
  <c r="B384" i="11" s="1"/>
  <c r="B318" i="2"/>
  <c r="B385" i="11" s="1"/>
  <c r="B319" i="2"/>
  <c r="B386" i="11" s="1"/>
  <c r="B320" i="2"/>
  <c r="B387" i="11" s="1"/>
  <c r="B321" i="2"/>
  <c r="B388" i="11" s="1"/>
  <c r="B322" i="2"/>
  <c r="B389" i="11" s="1"/>
  <c r="B323" i="2"/>
  <c r="B390" i="11" s="1"/>
  <c r="B324" i="2"/>
  <c r="B391" i="11" s="1"/>
  <c r="B325" i="2"/>
  <c r="B392" i="11" s="1"/>
  <c r="B113" i="2" l="1"/>
  <c r="B540" i="2"/>
  <c r="B633" i="11" s="1"/>
  <c r="B554" i="2"/>
  <c r="B645" i="11" s="1"/>
  <c r="B555" i="2"/>
  <c r="B646" i="11" s="1"/>
  <c r="B598" i="11"/>
  <c r="B599" i="11"/>
  <c r="B600" i="11"/>
  <c r="C1" i="11"/>
  <c r="A46" i="11" s="1"/>
  <c r="C26" i="8"/>
  <c r="J539" i="2"/>
  <c r="F632" i="11" s="1"/>
  <c r="H539" i="2"/>
  <c r="E632" i="11" s="1"/>
  <c r="F41" i="2"/>
  <c r="D29" i="11" s="1"/>
  <c r="H41" i="2"/>
  <c r="E29" i="11" s="1"/>
  <c r="J197" i="2"/>
  <c r="F161" i="11" s="1"/>
  <c r="H197" i="2"/>
  <c r="E161" i="11" s="1"/>
  <c r="F197" i="2"/>
  <c r="D161" i="11" s="1"/>
  <c r="D197" i="2"/>
  <c r="J194" i="2"/>
  <c r="J190" i="2" s="1"/>
  <c r="F154" i="11" s="1"/>
  <c r="H194" i="2"/>
  <c r="H190" i="2" s="1"/>
  <c r="E154" i="11" s="1"/>
  <c r="F194" i="2"/>
  <c r="D194" i="2"/>
  <c r="F191" i="2"/>
  <c r="D155" i="11" s="1"/>
  <c r="D191" i="2"/>
  <c r="C155" i="11" s="1"/>
  <c r="B538" i="2"/>
  <c r="B631" i="11" s="1"/>
  <c r="B545" i="2"/>
  <c r="B638" i="11" s="1"/>
  <c r="B544" i="2"/>
  <c r="B637" i="11" s="1"/>
  <c r="B543" i="2"/>
  <c r="B636" i="11" s="1"/>
  <c r="B541" i="2"/>
  <c r="B634" i="11" s="1"/>
  <c r="B537" i="2"/>
  <c r="B630" i="11" s="1"/>
  <c r="B536" i="2"/>
  <c r="B629" i="11" s="1"/>
  <c r="B535" i="2"/>
  <c r="B628" i="11" s="1"/>
  <c r="B533" i="2"/>
  <c r="B626" i="11" s="1"/>
  <c r="B532" i="2"/>
  <c r="B625" i="11" s="1"/>
  <c r="B531" i="2"/>
  <c r="B624" i="11" s="1"/>
  <c r="B529" i="2"/>
  <c r="B622" i="11" s="1"/>
  <c r="B528" i="2"/>
  <c r="B621" i="11" s="1"/>
  <c r="B527" i="2"/>
  <c r="B620" i="11" s="1"/>
  <c r="B525" i="2"/>
  <c r="B618" i="11" s="1"/>
  <c r="B524" i="2"/>
  <c r="B617" i="11" s="1"/>
  <c r="B523" i="2"/>
  <c r="B616" i="11" s="1"/>
  <c r="B124" i="2"/>
  <c r="B102" i="11" s="1"/>
  <c r="B121" i="2"/>
  <c r="B99" i="11" s="1"/>
  <c r="B122" i="2"/>
  <c r="B100" i="11" s="1"/>
  <c r="B123" i="2"/>
  <c r="B101" i="11" s="1"/>
  <c r="B115" i="2"/>
  <c r="B93" i="11" s="1"/>
  <c r="B94" i="2"/>
  <c r="B72" i="11" s="1"/>
  <c r="B95" i="2"/>
  <c r="B73" i="11" s="1"/>
  <c r="B192" i="2"/>
  <c r="B156" i="11" s="1"/>
  <c r="B193" i="2"/>
  <c r="B157" i="11" s="1"/>
  <c r="D522" i="2"/>
  <c r="C615" i="11" s="1"/>
  <c r="J74" i="2"/>
  <c r="F56" i="11" s="1"/>
  <c r="D74" i="2"/>
  <c r="D7" i="2" s="1"/>
  <c r="C5" i="11" s="1"/>
  <c r="H74" i="2"/>
  <c r="F74" i="2"/>
  <c r="B70" i="2"/>
  <c r="B53" i="11" s="1"/>
  <c r="J293" i="2"/>
  <c r="H293" i="2"/>
  <c r="E328" i="11" s="1"/>
  <c r="F293" i="2"/>
  <c r="D293" i="2"/>
  <c r="D290" i="2" s="1"/>
  <c r="J557" i="2"/>
  <c r="H557" i="2"/>
  <c r="F557" i="2"/>
  <c r="D648" i="11" s="1"/>
  <c r="D557" i="2"/>
  <c r="C648" i="11" s="1"/>
  <c r="J553" i="2"/>
  <c r="F644" i="11" s="1"/>
  <c r="H553" i="2"/>
  <c r="E644" i="11" s="1"/>
  <c r="F553" i="2"/>
  <c r="D644" i="11" s="1"/>
  <c r="D553" i="2"/>
  <c r="C644" i="11" s="1"/>
  <c r="J549" i="2"/>
  <c r="F640" i="11" s="1"/>
  <c r="H549" i="2"/>
  <c r="F549" i="2"/>
  <c r="D640" i="11" s="1"/>
  <c r="D549" i="2"/>
  <c r="J522" i="2"/>
  <c r="F615" i="11" s="1"/>
  <c r="J526" i="2"/>
  <c r="D534" i="2"/>
  <c r="C627" i="11" s="1"/>
  <c r="B596" i="11"/>
  <c r="B595" i="11"/>
  <c r="J494" i="2"/>
  <c r="I592" i="11" s="1"/>
  <c r="J493" i="2"/>
  <c r="I591" i="11" s="1"/>
  <c r="J489" i="2"/>
  <c r="E592" i="11" s="1"/>
  <c r="J488" i="2"/>
  <c r="E591" i="11" s="1"/>
  <c r="D476" i="2"/>
  <c r="C583" i="11" s="1"/>
  <c r="D468" i="2"/>
  <c r="C575" i="11" s="1"/>
  <c r="D464" i="2"/>
  <c r="C571" i="11" s="1"/>
  <c r="D460" i="2"/>
  <c r="C567" i="11" s="1"/>
  <c r="D430" i="2"/>
  <c r="D408" i="2"/>
  <c r="C483" i="11" s="1"/>
  <c r="D314" i="2"/>
  <c r="D242" i="2"/>
  <c r="B111" i="2"/>
  <c r="B89" i="11" s="1"/>
  <c r="H3" i="3"/>
  <c r="F3" i="4"/>
  <c r="C6" i="9"/>
  <c r="C7" i="9"/>
  <c r="C8" i="9"/>
  <c r="C19" i="9"/>
  <c r="C20" i="9"/>
  <c r="C6" i="7"/>
  <c r="B1106" i="11"/>
  <c r="B1109" i="11"/>
  <c r="B1101" i="11"/>
  <c r="B1108" i="11"/>
  <c r="B1107" i="11"/>
  <c r="B1099" i="11"/>
  <c r="B607" i="11"/>
  <c r="B606" i="11"/>
  <c r="B605" i="11"/>
  <c r="F508" i="2"/>
  <c r="F512" i="2"/>
  <c r="L508" i="2"/>
  <c r="G604" i="11" s="1"/>
  <c r="J508" i="2"/>
  <c r="F604" i="11" s="1"/>
  <c r="H508" i="2"/>
  <c r="E604" i="11" s="1"/>
  <c r="F581" i="11"/>
  <c r="E581" i="11"/>
  <c r="D581" i="11"/>
  <c r="C581" i="11"/>
  <c r="B474" i="2"/>
  <c r="B581" i="11" s="1"/>
  <c r="F54" i="11"/>
  <c r="E54" i="11"/>
  <c r="D54" i="11"/>
  <c r="C54" i="11"/>
  <c r="B71" i="2"/>
  <c r="B54" i="11" s="1"/>
  <c r="C9" i="9"/>
  <c r="B1102" i="11" s="1"/>
  <c r="C21" i="9"/>
  <c r="B1104" i="11" s="1"/>
  <c r="C40" i="8"/>
  <c r="C38" i="8" s="1"/>
  <c r="B1098" i="11"/>
  <c r="C7" i="8"/>
  <c r="C25" i="8"/>
  <c r="C41" i="8"/>
  <c r="B1100" i="11" s="1"/>
  <c r="C36" i="8"/>
  <c r="A2" i="11"/>
  <c r="A3" i="11"/>
  <c r="A3" i="2"/>
  <c r="A1" i="3"/>
  <c r="A1" i="4"/>
  <c r="B2" i="5"/>
  <c r="B2" i="6"/>
  <c r="C2" i="9"/>
  <c r="C2" i="8"/>
  <c r="C2" i="7"/>
  <c r="A1" i="7"/>
  <c r="A1" i="9"/>
  <c r="A1" i="8"/>
  <c r="A1" i="6"/>
  <c r="A1" i="5"/>
  <c r="A1" i="2"/>
  <c r="B34" i="2"/>
  <c r="B22" i="11" s="1"/>
  <c r="D35" i="2"/>
  <c r="F35" i="2"/>
  <c r="D23" i="11" s="1"/>
  <c r="H35" i="2"/>
  <c r="E23" i="11" s="1"/>
  <c r="J35" i="2"/>
  <c r="J33" i="2" s="1"/>
  <c r="B36" i="2"/>
  <c r="B24" i="11" s="1"/>
  <c r="B37" i="2"/>
  <c r="B25" i="11" s="1"/>
  <c r="B38" i="2"/>
  <c r="B26" i="11" s="1"/>
  <c r="B40" i="2"/>
  <c r="B28" i="11" s="1"/>
  <c r="D41" i="2"/>
  <c r="C29" i="11" s="1"/>
  <c r="J41" i="2"/>
  <c r="F29" i="11" s="1"/>
  <c r="B42" i="2"/>
  <c r="B30" i="11" s="1"/>
  <c r="B43" i="2"/>
  <c r="B31" i="11" s="1"/>
  <c r="B44" i="2"/>
  <c r="B32" i="11" s="1"/>
  <c r="B46" i="2"/>
  <c r="B34" i="11" s="1"/>
  <c r="D47" i="2"/>
  <c r="F47" i="2"/>
  <c r="B48" i="2"/>
  <c r="B36" i="11" s="1"/>
  <c r="B49" i="2"/>
  <c r="B37" i="11" s="1"/>
  <c r="B50" i="2"/>
  <c r="B38" i="11" s="1"/>
  <c r="B51" i="2"/>
  <c r="B39" i="11" s="1"/>
  <c r="B52" i="2"/>
  <c r="B40" i="11" s="1"/>
  <c r="B53" i="2"/>
  <c r="B41" i="11" s="1"/>
  <c r="B54" i="2"/>
  <c r="B42" i="11" s="1"/>
  <c r="D55" i="2"/>
  <c r="C43" i="11" s="1"/>
  <c r="F55" i="2"/>
  <c r="B56" i="2"/>
  <c r="B44" i="11" s="1"/>
  <c r="B57" i="2"/>
  <c r="B45" i="11" s="1"/>
  <c r="B59" i="2"/>
  <c r="B47" i="11" s="1"/>
  <c r="D60" i="2"/>
  <c r="C48" i="11" s="1"/>
  <c r="F60" i="2"/>
  <c r="D48" i="11" s="1"/>
  <c r="B61" i="2"/>
  <c r="B49" i="11" s="1"/>
  <c r="B62" i="2"/>
  <c r="B50" i="11" s="1"/>
  <c r="B63" i="2"/>
  <c r="B51" i="11" s="1"/>
  <c r="B72" i="2"/>
  <c r="B55" i="11" s="1"/>
  <c r="B79" i="2"/>
  <c r="B57" i="11" s="1"/>
  <c r="D80" i="2"/>
  <c r="C58" i="11" s="1"/>
  <c r="F80" i="2"/>
  <c r="D58" i="11" s="1"/>
  <c r="H80" i="2"/>
  <c r="E58" i="11" s="1"/>
  <c r="J80" i="2"/>
  <c r="F58" i="11" s="1"/>
  <c r="B81" i="2"/>
  <c r="B59" i="11" s="1"/>
  <c r="B82" i="2"/>
  <c r="B60" i="11" s="1"/>
  <c r="D83" i="2"/>
  <c r="C61" i="11" s="1"/>
  <c r="E83" i="2"/>
  <c r="F83" i="2"/>
  <c r="D61" i="11" s="1"/>
  <c r="G83" i="2"/>
  <c r="H83" i="2"/>
  <c r="E61" i="11" s="1"/>
  <c r="I83" i="2"/>
  <c r="J83" i="2"/>
  <c r="F61" i="11" s="1"/>
  <c r="B84" i="2"/>
  <c r="B62" i="11" s="1"/>
  <c r="B85" i="2"/>
  <c r="B63" i="11" s="1"/>
  <c r="D87" i="2"/>
  <c r="C65" i="11" s="1"/>
  <c r="F87" i="2"/>
  <c r="D65" i="11" s="1"/>
  <c r="H87" i="2"/>
  <c r="E65" i="11" s="1"/>
  <c r="J87" i="2"/>
  <c r="F65" i="11" s="1"/>
  <c r="B88" i="2"/>
  <c r="B66" i="11" s="1"/>
  <c r="B89" i="2"/>
  <c r="B67" i="11" s="1"/>
  <c r="D90" i="2"/>
  <c r="C68" i="11" s="1"/>
  <c r="F90" i="2"/>
  <c r="D68" i="11" s="1"/>
  <c r="H90" i="2"/>
  <c r="E68" i="11" s="1"/>
  <c r="J90" i="2"/>
  <c r="F68" i="11" s="1"/>
  <c r="B91" i="2"/>
  <c r="B69" i="11" s="1"/>
  <c r="B92" i="2"/>
  <c r="B70" i="11" s="1"/>
  <c r="D93" i="2"/>
  <c r="C71" i="11" s="1"/>
  <c r="F93" i="2"/>
  <c r="H93" i="2"/>
  <c r="E71" i="11" s="1"/>
  <c r="J93" i="2"/>
  <c r="F71" i="11" s="1"/>
  <c r="D96" i="2"/>
  <c r="C74" i="11" s="1"/>
  <c r="E96" i="2"/>
  <c r="F96" i="2"/>
  <c r="D74" i="11" s="1"/>
  <c r="G96" i="2"/>
  <c r="H96" i="2"/>
  <c r="E74" i="11" s="1"/>
  <c r="I96" i="2"/>
  <c r="J96" i="2"/>
  <c r="F74" i="11" s="1"/>
  <c r="B97" i="2"/>
  <c r="B75" i="11" s="1"/>
  <c r="B98" i="2"/>
  <c r="B76" i="11" s="1"/>
  <c r="E99" i="2"/>
  <c r="G99" i="2"/>
  <c r="D100" i="2"/>
  <c r="C78" i="11" s="1"/>
  <c r="F100" i="2"/>
  <c r="B101" i="2"/>
  <c r="B79" i="11" s="1"/>
  <c r="B102" i="2"/>
  <c r="B80" i="11" s="1"/>
  <c r="D103" i="2"/>
  <c r="C81" i="11" s="1"/>
  <c r="F103" i="2"/>
  <c r="H103" i="2"/>
  <c r="H99" i="2" s="1"/>
  <c r="E77" i="11" s="1"/>
  <c r="J103" i="2"/>
  <c r="B104" i="2"/>
  <c r="B82" i="11" s="1"/>
  <c r="B105" i="2"/>
  <c r="B83" i="11" s="1"/>
  <c r="D106" i="2"/>
  <c r="F106" i="2"/>
  <c r="D84" i="11" s="1"/>
  <c r="H106" i="2"/>
  <c r="E84" i="11" s="1"/>
  <c r="J106" i="2"/>
  <c r="F84" i="11" s="1"/>
  <c r="B107" i="2"/>
  <c r="B85" i="11" s="1"/>
  <c r="B108" i="2"/>
  <c r="B86" i="11" s="1"/>
  <c r="D109" i="2"/>
  <c r="C87" i="11" s="1"/>
  <c r="F109" i="2"/>
  <c r="D87" i="11" s="1"/>
  <c r="H109" i="2"/>
  <c r="E87" i="11" s="1"/>
  <c r="J109" i="2"/>
  <c r="F87" i="11" s="1"/>
  <c r="B110" i="2"/>
  <c r="B88" i="11" s="1"/>
  <c r="D114" i="2"/>
  <c r="C92" i="11" s="1"/>
  <c r="F114" i="2"/>
  <c r="F112" i="2" s="1"/>
  <c r="D90" i="11" s="1"/>
  <c r="H114" i="2"/>
  <c r="J114" i="2"/>
  <c r="J112" i="2" s="1"/>
  <c r="F90" i="11" s="1"/>
  <c r="B116" i="2"/>
  <c r="B94" i="11" s="1"/>
  <c r="B117" i="2"/>
  <c r="B95" i="11" s="1"/>
  <c r="B118" i="2"/>
  <c r="B96" i="11" s="1"/>
  <c r="C120" i="2"/>
  <c r="D120" i="2"/>
  <c r="E120" i="2"/>
  <c r="F120" i="2"/>
  <c r="G120" i="2"/>
  <c r="H120" i="2"/>
  <c r="E98" i="11" s="1"/>
  <c r="J120" i="2"/>
  <c r="D125" i="2"/>
  <c r="C103" i="11" s="1"/>
  <c r="F125" i="2"/>
  <c r="D103" i="11" s="1"/>
  <c r="H125" i="2"/>
  <c r="E103" i="11" s="1"/>
  <c r="J125" i="2"/>
  <c r="F103" i="11" s="1"/>
  <c r="B126" i="2"/>
  <c r="B104" i="11" s="1"/>
  <c r="B127" i="2"/>
  <c r="B105" i="11" s="1"/>
  <c r="D128" i="2"/>
  <c r="C106" i="11" s="1"/>
  <c r="F128" i="2"/>
  <c r="D106" i="11" s="1"/>
  <c r="H128" i="2"/>
  <c r="E106" i="11" s="1"/>
  <c r="I128" i="2"/>
  <c r="J128" i="2"/>
  <c r="B129" i="2"/>
  <c r="B107" i="11" s="1"/>
  <c r="B130" i="2"/>
  <c r="B108" i="11" s="1"/>
  <c r="D131" i="2"/>
  <c r="F131" i="2"/>
  <c r="D109" i="11" s="1"/>
  <c r="H131" i="2"/>
  <c r="E109" i="11" s="1"/>
  <c r="J131" i="2"/>
  <c r="F109" i="11" s="1"/>
  <c r="B132" i="2"/>
  <c r="B110" i="11" s="1"/>
  <c r="B133" i="2"/>
  <c r="B111" i="11" s="1"/>
  <c r="D137" i="2"/>
  <c r="C113" i="11" s="1"/>
  <c r="F137" i="2"/>
  <c r="D113" i="11" s="1"/>
  <c r="H137" i="2"/>
  <c r="E113" i="11" s="1"/>
  <c r="J137" i="2"/>
  <c r="F113" i="11" s="1"/>
  <c r="B138" i="2"/>
  <c r="B114" i="11" s="1"/>
  <c r="B139" i="2"/>
  <c r="B115" i="11" s="1"/>
  <c r="B147" i="2"/>
  <c r="B118" i="11" s="1"/>
  <c r="B148" i="2"/>
  <c r="B119" i="11" s="1"/>
  <c r="B149" i="2"/>
  <c r="B120" i="11" s="1"/>
  <c r="D150" i="2"/>
  <c r="C121" i="11" s="1"/>
  <c r="F150" i="2"/>
  <c r="H150" i="2"/>
  <c r="E121" i="11" s="1"/>
  <c r="J150" i="2"/>
  <c r="F121" i="11" s="1"/>
  <c r="B151" i="2"/>
  <c r="B122" i="11" s="1"/>
  <c r="B152" i="2"/>
  <c r="B123" i="11" s="1"/>
  <c r="B153" i="2"/>
  <c r="B124" i="11" s="1"/>
  <c r="B154" i="2"/>
  <c r="B125" i="11" s="1"/>
  <c r="B155" i="2"/>
  <c r="B126" i="11" s="1"/>
  <c r="D156" i="2"/>
  <c r="C127" i="11" s="1"/>
  <c r="F156" i="2"/>
  <c r="H156" i="2"/>
  <c r="E127" i="11" s="1"/>
  <c r="J156" i="2"/>
  <c r="F127" i="11" s="1"/>
  <c r="B157" i="2"/>
  <c r="B128" i="11" s="1"/>
  <c r="B158" i="2"/>
  <c r="B129" i="11" s="1"/>
  <c r="B159" i="2"/>
  <c r="B130" i="11" s="1"/>
  <c r="B161" i="2"/>
  <c r="B132" i="11" s="1"/>
  <c r="B162" i="2"/>
  <c r="B133" i="11" s="1"/>
  <c r="B163" i="2"/>
  <c r="B134" i="11" s="1"/>
  <c r="D164" i="2"/>
  <c r="C135" i="11" s="1"/>
  <c r="F164" i="2"/>
  <c r="D135" i="11" s="1"/>
  <c r="H164" i="2"/>
  <c r="J164" i="2"/>
  <c r="F135" i="11" s="1"/>
  <c r="B165" i="2"/>
  <c r="B136" i="11" s="1"/>
  <c r="B166" i="2"/>
  <c r="B137" i="11" s="1"/>
  <c r="B167" i="2"/>
  <c r="B138" i="11" s="1"/>
  <c r="B168" i="2"/>
  <c r="B139" i="11" s="1"/>
  <c r="B169" i="2"/>
  <c r="B140" i="11" s="1"/>
  <c r="D170" i="2"/>
  <c r="F170" i="2"/>
  <c r="D141" i="11" s="1"/>
  <c r="H170" i="2"/>
  <c r="E141" i="11" s="1"/>
  <c r="J170" i="2"/>
  <c r="F141" i="11" s="1"/>
  <c r="B171" i="2"/>
  <c r="B142" i="11" s="1"/>
  <c r="B172" i="2"/>
  <c r="B143" i="11" s="1"/>
  <c r="B173" i="2"/>
  <c r="B144" i="11" s="1"/>
  <c r="B174" i="2"/>
  <c r="B145" i="11" s="1"/>
  <c r="D178" i="2"/>
  <c r="C147" i="11" s="1"/>
  <c r="F178" i="2"/>
  <c r="D147" i="11" s="1"/>
  <c r="H178" i="2"/>
  <c r="E147" i="11" s="1"/>
  <c r="J178" i="2"/>
  <c r="F147" i="11" s="1"/>
  <c r="B179" i="2"/>
  <c r="B148" i="11" s="1"/>
  <c r="B180" i="2"/>
  <c r="B149" i="11" s="1"/>
  <c r="D187" i="2"/>
  <c r="C151" i="11" s="1"/>
  <c r="F187" i="2"/>
  <c r="D151" i="11" s="1"/>
  <c r="H187" i="2"/>
  <c r="J187" i="2"/>
  <c r="F151" i="11" s="1"/>
  <c r="B188" i="2"/>
  <c r="B152" i="11" s="1"/>
  <c r="B189" i="2"/>
  <c r="B153" i="11" s="1"/>
  <c r="B195" i="2"/>
  <c r="B159" i="11" s="1"/>
  <c r="B196" i="2"/>
  <c r="B160" i="11" s="1"/>
  <c r="B198" i="2"/>
  <c r="B162" i="11" s="1"/>
  <c r="B199" i="2"/>
  <c r="B163" i="11" s="1"/>
  <c r="D201" i="2"/>
  <c r="C165" i="11" s="1"/>
  <c r="F201" i="2"/>
  <c r="D165" i="11" s="1"/>
  <c r="H201" i="2"/>
  <c r="J201" i="2"/>
  <c r="F165" i="11" s="1"/>
  <c r="B202" i="2"/>
  <c r="B168" i="11" s="1"/>
  <c r="B203" i="2"/>
  <c r="B174" i="11" s="1"/>
  <c r="B204" i="2"/>
  <c r="B180" i="11" s="1"/>
  <c r="B205" i="2"/>
  <c r="B186" i="11" s="1"/>
  <c r="B206" i="2"/>
  <c r="B192" i="11" s="1"/>
  <c r="B207" i="2"/>
  <c r="B198" i="11" s="1"/>
  <c r="D208" i="2"/>
  <c r="C204" i="11" s="1"/>
  <c r="F208" i="2"/>
  <c r="D204" i="11" s="1"/>
  <c r="H208" i="2"/>
  <c r="E204" i="11" s="1"/>
  <c r="J208" i="2"/>
  <c r="B209" i="2"/>
  <c r="B207" i="11" s="1"/>
  <c r="B210" i="2"/>
  <c r="B213" i="11" s="1"/>
  <c r="B211" i="2"/>
  <c r="B219" i="11" s="1"/>
  <c r="B212" i="2"/>
  <c r="B225" i="11" s="1"/>
  <c r="B213" i="2"/>
  <c r="B231" i="11" s="1"/>
  <c r="B214" i="2"/>
  <c r="B237" i="11" s="1"/>
  <c r="B215" i="2"/>
  <c r="B243" i="11" s="1"/>
  <c r="B216" i="2"/>
  <c r="B249" i="11" s="1"/>
  <c r="B217" i="2"/>
  <c r="B255" i="11" s="1"/>
  <c r="B218" i="2"/>
  <c r="B261" i="11" s="1"/>
  <c r="B219" i="2"/>
  <c r="B267" i="11" s="1"/>
  <c r="B227" i="2"/>
  <c r="B275" i="11" s="1"/>
  <c r="B228" i="2"/>
  <c r="B276" i="11" s="1"/>
  <c r="D229" i="2"/>
  <c r="C277" i="11" s="1"/>
  <c r="F229" i="2"/>
  <c r="H229" i="2"/>
  <c r="H226" i="2" s="1"/>
  <c r="J229" i="2"/>
  <c r="F277" i="11" s="1"/>
  <c r="B230" i="2"/>
  <c r="B278" i="11" s="1"/>
  <c r="B231" i="2"/>
  <c r="B279" i="11" s="1"/>
  <c r="B232" i="2"/>
  <c r="B280" i="11" s="1"/>
  <c r="B233" i="2"/>
  <c r="B281" i="11" s="1"/>
  <c r="B234" i="2"/>
  <c r="B282" i="11" s="1"/>
  <c r="B235" i="2"/>
  <c r="B283" i="11" s="1"/>
  <c r="B236" i="2"/>
  <c r="B284" i="11" s="1"/>
  <c r="B237" i="2"/>
  <c r="B285" i="11" s="1"/>
  <c r="B239" i="2"/>
  <c r="B286" i="11" s="1"/>
  <c r="B240" i="2"/>
  <c r="B287" i="11" s="1"/>
  <c r="B241" i="2"/>
  <c r="B288" i="11" s="1"/>
  <c r="F242" i="2"/>
  <c r="D289" i="11" s="1"/>
  <c r="H242" i="2"/>
  <c r="E289" i="11" s="1"/>
  <c r="J242" i="2"/>
  <c r="F289" i="11" s="1"/>
  <c r="B243" i="2"/>
  <c r="B290" i="11" s="1"/>
  <c r="B244" i="2"/>
  <c r="B291" i="11" s="1"/>
  <c r="B245" i="2"/>
  <c r="B292" i="11" s="1"/>
  <c r="D246" i="2"/>
  <c r="C293" i="11" s="1"/>
  <c r="F246" i="2"/>
  <c r="D293" i="11" s="1"/>
  <c r="H246" i="2"/>
  <c r="E293" i="11" s="1"/>
  <c r="J246" i="2"/>
  <c r="F293" i="11" s="1"/>
  <c r="B247" i="2"/>
  <c r="B294" i="11" s="1"/>
  <c r="B248" i="2"/>
  <c r="B295" i="11" s="1"/>
  <c r="B249" i="2"/>
  <c r="B296" i="11" s="1"/>
  <c r="D250" i="2"/>
  <c r="C297" i="11" s="1"/>
  <c r="F250" i="2"/>
  <c r="D297" i="11" s="1"/>
  <c r="H250" i="2"/>
  <c r="E297" i="11" s="1"/>
  <c r="J250" i="2"/>
  <c r="F297" i="11" s="1"/>
  <c r="B251" i="2"/>
  <c r="B298" i="11" s="1"/>
  <c r="B252" i="2"/>
  <c r="B299" i="11" s="1"/>
  <c r="B253" i="2"/>
  <c r="B300" i="11" s="1"/>
  <c r="D254" i="2"/>
  <c r="C301" i="11" s="1"/>
  <c r="F254" i="2"/>
  <c r="D301" i="11" s="1"/>
  <c r="H254" i="2"/>
  <c r="E301" i="11" s="1"/>
  <c r="J254" i="2"/>
  <c r="F301" i="11" s="1"/>
  <c r="B255" i="2"/>
  <c r="B302" i="11" s="1"/>
  <c r="B256" i="2"/>
  <c r="B303" i="11" s="1"/>
  <c r="B257" i="2"/>
  <c r="B304" i="11" s="1"/>
  <c r="B258" i="2"/>
  <c r="B305" i="11" s="1"/>
  <c r="D259" i="2"/>
  <c r="C306" i="11" s="1"/>
  <c r="F259" i="2"/>
  <c r="D306" i="11" s="1"/>
  <c r="H259" i="2"/>
  <c r="E306" i="11" s="1"/>
  <c r="J259" i="2"/>
  <c r="F306" i="11" s="1"/>
  <c r="B260" i="2"/>
  <c r="B307" i="11" s="1"/>
  <c r="B261" i="2"/>
  <c r="B308" i="11" s="1"/>
  <c r="B262" i="2"/>
  <c r="B309" i="11" s="1"/>
  <c r="D264" i="2"/>
  <c r="C310" i="11" s="1"/>
  <c r="F264" i="2"/>
  <c r="D310" i="11" s="1"/>
  <c r="H264" i="2"/>
  <c r="E310" i="11" s="1"/>
  <c r="J264" i="2"/>
  <c r="F310" i="11" s="1"/>
  <c r="B265" i="2"/>
  <c r="B311" i="11" s="1"/>
  <c r="B266" i="2"/>
  <c r="B312" i="11" s="1"/>
  <c r="B273" i="2"/>
  <c r="B314" i="11" s="1"/>
  <c r="B274" i="2"/>
  <c r="B315" i="11" s="1"/>
  <c r="B275" i="2"/>
  <c r="B316" i="11" s="1"/>
  <c r="D277" i="2"/>
  <c r="F277" i="2"/>
  <c r="F281" i="2" s="1"/>
  <c r="D320" i="11" s="1"/>
  <c r="H277" i="2"/>
  <c r="J277" i="2"/>
  <c r="B278" i="2"/>
  <c r="B318" i="11" s="1"/>
  <c r="B279" i="2"/>
  <c r="B319" i="11" s="1"/>
  <c r="B286" i="2"/>
  <c r="B321" i="11" s="1"/>
  <c r="B287" i="2"/>
  <c r="B322" i="11" s="1"/>
  <c r="B288" i="2"/>
  <c r="B323" i="11" s="1"/>
  <c r="B289" i="2"/>
  <c r="B324" i="11" s="1"/>
  <c r="B291" i="2"/>
  <c r="B326" i="11" s="1"/>
  <c r="B292" i="2"/>
  <c r="B327" i="11" s="1"/>
  <c r="B294" i="2"/>
  <c r="B331" i="11" s="1"/>
  <c r="B295" i="2"/>
  <c r="B337" i="11" s="1"/>
  <c r="B296" i="2"/>
  <c r="B343" i="11" s="1"/>
  <c r="B297" i="2"/>
  <c r="B349" i="11" s="1"/>
  <c r="B298" i="2"/>
  <c r="B355" i="11" s="1"/>
  <c r="B299" i="2"/>
  <c r="B361" i="11" s="1"/>
  <c r="B300" i="2"/>
  <c r="B367" i="11" s="1"/>
  <c r="B308" i="2"/>
  <c r="B375" i="11" s="1"/>
  <c r="B309" i="2"/>
  <c r="B376" i="11" s="1"/>
  <c r="B310" i="2"/>
  <c r="B377" i="11" s="1"/>
  <c r="B311" i="2"/>
  <c r="B378" i="11" s="1"/>
  <c r="B312" i="2"/>
  <c r="B379" i="11" s="1"/>
  <c r="B313" i="2"/>
  <c r="B380" i="11" s="1"/>
  <c r="F314" i="2"/>
  <c r="H314" i="2"/>
  <c r="H307" i="2" s="1"/>
  <c r="J314" i="2"/>
  <c r="B315" i="2"/>
  <c r="B382" i="11" s="1"/>
  <c r="B316" i="2"/>
  <c r="B383" i="11" s="1"/>
  <c r="D327" i="2"/>
  <c r="F327" i="2"/>
  <c r="H327" i="2"/>
  <c r="J327" i="2"/>
  <c r="B328" i="2"/>
  <c r="B397" i="11" s="1"/>
  <c r="B329" i="2"/>
  <c r="B398" i="11" s="1"/>
  <c r="B330" i="2"/>
  <c r="B399" i="11" s="1"/>
  <c r="B331" i="2"/>
  <c r="B400" i="11" s="1"/>
  <c r="B332" i="2"/>
  <c r="B401" i="11" s="1"/>
  <c r="B333" i="2"/>
  <c r="B402" i="11" s="1"/>
  <c r="B334" i="2"/>
  <c r="B403" i="11" s="1"/>
  <c r="D335" i="2"/>
  <c r="C404" i="11" s="1"/>
  <c r="F335" i="2"/>
  <c r="D404" i="11" s="1"/>
  <c r="H335" i="2"/>
  <c r="J335" i="2"/>
  <c r="F404" i="11" s="1"/>
  <c r="B336" i="2"/>
  <c r="B405" i="11" s="1"/>
  <c r="B337" i="2"/>
  <c r="B406" i="11" s="1"/>
  <c r="B338" i="2"/>
  <c r="B407" i="11" s="1"/>
  <c r="B339" i="2"/>
  <c r="B408" i="11" s="1"/>
  <c r="B340" i="2"/>
  <c r="B409" i="11" s="1"/>
  <c r="B341" i="2"/>
  <c r="B410" i="11" s="1"/>
  <c r="B342" i="2"/>
  <c r="B411" i="11" s="1"/>
  <c r="B344" i="2"/>
  <c r="B413" i="11" s="1"/>
  <c r="D345" i="2"/>
  <c r="D343" i="2" s="1"/>
  <c r="C412" i="11" s="1"/>
  <c r="F345" i="2"/>
  <c r="H345" i="2"/>
  <c r="H343" i="2" s="1"/>
  <c r="E412" i="11" s="1"/>
  <c r="J345" i="2"/>
  <c r="J343" i="2" s="1"/>
  <c r="F412" i="11" s="1"/>
  <c r="B346" i="2"/>
  <c r="B415" i="11" s="1"/>
  <c r="B347" i="2"/>
  <c r="B416" i="11" s="1"/>
  <c r="B348" i="2"/>
  <c r="B417" i="11" s="1"/>
  <c r="B349" i="2"/>
  <c r="B418" i="11" s="1"/>
  <c r="B350" i="2"/>
  <c r="B419" i="11" s="1"/>
  <c r="B351" i="2"/>
  <c r="B420" i="11" s="1"/>
  <c r="B352" i="2"/>
  <c r="B421" i="11" s="1"/>
  <c r="D353" i="2"/>
  <c r="F353" i="2"/>
  <c r="D422" i="11" s="1"/>
  <c r="H353" i="2"/>
  <c r="E422" i="11" s="1"/>
  <c r="J353" i="2"/>
  <c r="F422" i="11" s="1"/>
  <c r="B354" i="2"/>
  <c r="B425" i="11" s="1"/>
  <c r="B355" i="2"/>
  <c r="B431" i="11" s="1"/>
  <c r="D361" i="2"/>
  <c r="C450" i="11" s="1"/>
  <c r="F361" i="2"/>
  <c r="H361" i="2"/>
  <c r="E450" i="11" s="1"/>
  <c r="J361" i="2"/>
  <c r="F450" i="11" s="1"/>
  <c r="B362" i="2"/>
  <c r="B451" i="11" s="1"/>
  <c r="B363" i="2"/>
  <c r="B452" i="11" s="1"/>
  <c r="B364" i="2"/>
  <c r="B453" i="11" s="1"/>
  <c r="B365" i="2"/>
  <c r="B454" i="11" s="1"/>
  <c r="B366" i="2"/>
  <c r="B455" i="11" s="1"/>
  <c r="D367" i="2"/>
  <c r="C456" i="11" s="1"/>
  <c r="F367" i="2"/>
  <c r="D456" i="11" s="1"/>
  <c r="H367" i="2"/>
  <c r="E456" i="11" s="1"/>
  <c r="J367" i="2"/>
  <c r="F456" i="11" s="1"/>
  <c r="B368" i="2"/>
  <c r="B457" i="11" s="1"/>
  <c r="B369" i="2"/>
  <c r="B458" i="11" s="1"/>
  <c r="B372" i="2"/>
  <c r="B460" i="11" s="1"/>
  <c r="D393" i="2"/>
  <c r="C472" i="11" s="1"/>
  <c r="F393" i="2"/>
  <c r="D472" i="11" s="1"/>
  <c r="H393" i="2"/>
  <c r="J393" i="2"/>
  <c r="F472" i="11" s="1"/>
  <c r="B394" i="2"/>
  <c r="B473" i="11" s="1"/>
  <c r="B395" i="2"/>
  <c r="B474" i="11" s="1"/>
  <c r="D396" i="2"/>
  <c r="F396" i="2"/>
  <c r="D475" i="11" s="1"/>
  <c r="H396" i="2"/>
  <c r="E475" i="11" s="1"/>
  <c r="J396" i="2"/>
  <c r="B397" i="2"/>
  <c r="B476" i="11" s="1"/>
  <c r="B398" i="2"/>
  <c r="B477" i="11" s="1"/>
  <c r="B399" i="2"/>
  <c r="B478" i="11" s="1"/>
  <c r="B405" i="2"/>
  <c r="B480" i="11" s="1"/>
  <c r="B406" i="2"/>
  <c r="B481" i="11" s="1"/>
  <c r="B407" i="2"/>
  <c r="B482" i="11" s="1"/>
  <c r="F408" i="2"/>
  <c r="D483" i="11" s="1"/>
  <c r="H408" i="2"/>
  <c r="E483" i="11" s="1"/>
  <c r="J408" i="2"/>
  <c r="F483" i="11" s="1"/>
  <c r="B409" i="2"/>
  <c r="B484" i="11" s="1"/>
  <c r="B410" i="2"/>
  <c r="B485" i="11" s="1"/>
  <c r="B411" i="2"/>
  <c r="B486" i="11" s="1"/>
  <c r="B412" i="2"/>
  <c r="B487" i="11" s="1"/>
  <c r="B413" i="2"/>
  <c r="B488" i="11" s="1"/>
  <c r="C489" i="11"/>
  <c r="E489" i="11"/>
  <c r="F489" i="11"/>
  <c r="B415" i="2"/>
  <c r="B490" i="11" s="1"/>
  <c r="B416" i="2"/>
  <c r="B491" i="11" s="1"/>
  <c r="D417" i="2"/>
  <c r="C492" i="11" s="1"/>
  <c r="F417" i="2"/>
  <c r="H417" i="2"/>
  <c r="E492" i="11" s="1"/>
  <c r="J417" i="2"/>
  <c r="F492" i="11" s="1"/>
  <c r="B418" i="2"/>
  <c r="B493" i="11" s="1"/>
  <c r="B419" i="2"/>
  <c r="B494" i="11" s="1"/>
  <c r="B420" i="2"/>
  <c r="B495" i="11" s="1"/>
  <c r="B421" i="2"/>
  <c r="B496" i="11" s="1"/>
  <c r="B422" i="2"/>
  <c r="B497" i="11" s="1"/>
  <c r="B423" i="2"/>
  <c r="B498" i="11" s="1"/>
  <c r="B429" i="2"/>
  <c r="B500" i="11" s="1"/>
  <c r="F430" i="2"/>
  <c r="H430" i="2"/>
  <c r="E501" i="11" s="1"/>
  <c r="J430" i="2"/>
  <c r="B431" i="2"/>
  <c r="B502" i="11" s="1"/>
  <c r="B432" i="2"/>
  <c r="B503" i="11" s="1"/>
  <c r="B433" i="2"/>
  <c r="B504" i="11" s="1"/>
  <c r="B434" i="2"/>
  <c r="B505" i="11" s="1"/>
  <c r="D435" i="2"/>
  <c r="C506" i="11" s="1"/>
  <c r="F435" i="2"/>
  <c r="D506" i="11" s="1"/>
  <c r="H435" i="2"/>
  <c r="E506" i="11" s="1"/>
  <c r="J435" i="2"/>
  <c r="F506" i="11" s="1"/>
  <c r="B436" i="2"/>
  <c r="B509" i="11" s="1"/>
  <c r="B437" i="2"/>
  <c r="B515" i="11" s="1"/>
  <c r="B438" i="2"/>
  <c r="B521" i="11" s="1"/>
  <c r="B439" i="2"/>
  <c r="B527" i="11" s="1"/>
  <c r="B440" i="2"/>
  <c r="B533" i="11" s="1"/>
  <c r="B446" i="2"/>
  <c r="B540" i="11" s="1"/>
  <c r="B447" i="2"/>
  <c r="B541" i="11" s="1"/>
  <c r="D448" i="2"/>
  <c r="C542" i="11" s="1"/>
  <c r="F448" i="2"/>
  <c r="H448" i="2"/>
  <c r="H452" i="2" s="1"/>
  <c r="E563" i="11" s="1"/>
  <c r="J448" i="2"/>
  <c r="F542" i="11" s="1"/>
  <c r="B449" i="2"/>
  <c r="B545" i="11" s="1"/>
  <c r="B450" i="2"/>
  <c r="B551" i="11" s="1"/>
  <c r="B451" i="2"/>
  <c r="B557" i="11" s="1"/>
  <c r="B457" i="2"/>
  <c r="B564" i="11" s="1"/>
  <c r="B458" i="2"/>
  <c r="B565" i="11" s="1"/>
  <c r="F460" i="2"/>
  <c r="D567" i="11" s="1"/>
  <c r="H460" i="2"/>
  <c r="E567" i="11" s="1"/>
  <c r="J460" i="2"/>
  <c r="B461" i="2"/>
  <c r="B568" i="11" s="1"/>
  <c r="B462" i="2"/>
  <c r="B569" i="11" s="1"/>
  <c r="B463" i="2"/>
  <c r="B570" i="11" s="1"/>
  <c r="F464" i="2"/>
  <c r="H464" i="2"/>
  <c r="E571" i="11" s="1"/>
  <c r="J464" i="2"/>
  <c r="F571" i="11" s="1"/>
  <c r="B465" i="2"/>
  <c r="B572" i="11" s="1"/>
  <c r="B466" i="2"/>
  <c r="B573" i="11" s="1"/>
  <c r="B467" i="2"/>
  <c r="B574" i="11" s="1"/>
  <c r="F468" i="2"/>
  <c r="D575" i="11" s="1"/>
  <c r="H468" i="2"/>
  <c r="E575" i="11" s="1"/>
  <c r="J468" i="2"/>
  <c r="F575" i="11" s="1"/>
  <c r="B469" i="2"/>
  <c r="B576" i="11" s="1"/>
  <c r="B470" i="2"/>
  <c r="B577" i="11" s="1"/>
  <c r="B471" i="2"/>
  <c r="B578" i="11" s="1"/>
  <c r="B472" i="2"/>
  <c r="B579" i="11" s="1"/>
  <c r="B473" i="2"/>
  <c r="B580" i="11" s="1"/>
  <c r="B475" i="2"/>
  <c r="B582" i="11" s="1"/>
  <c r="F476" i="2"/>
  <c r="D583" i="11" s="1"/>
  <c r="H476" i="2"/>
  <c r="E583" i="11" s="1"/>
  <c r="J476" i="2"/>
  <c r="F583" i="11" s="1"/>
  <c r="B477" i="2"/>
  <c r="B584" i="11" s="1"/>
  <c r="B478" i="2"/>
  <c r="B585" i="11" s="1"/>
  <c r="H482" i="2"/>
  <c r="B587" i="11" s="1"/>
  <c r="J482" i="2"/>
  <c r="C587" i="11" s="1"/>
  <c r="D490" i="2"/>
  <c r="B593" i="11" s="1"/>
  <c r="F490" i="2"/>
  <c r="H490" i="2"/>
  <c r="D593" i="11" s="1"/>
  <c r="D495" i="2"/>
  <c r="F593" i="11" s="1"/>
  <c r="F495" i="2"/>
  <c r="G593" i="11" s="1"/>
  <c r="H495" i="2"/>
  <c r="H593" i="11" s="1"/>
  <c r="F501" i="2"/>
  <c r="H501" i="2"/>
  <c r="E597" i="11" s="1"/>
  <c r="J501" i="2"/>
  <c r="F597" i="11" s="1"/>
  <c r="L501" i="2"/>
  <c r="G597" i="11" s="1"/>
  <c r="F505" i="2"/>
  <c r="H505" i="2"/>
  <c r="E601" i="11" s="1"/>
  <c r="J505" i="2"/>
  <c r="F601" i="11" s="1"/>
  <c r="L505" i="2"/>
  <c r="G601" i="11" s="1"/>
  <c r="B602" i="11"/>
  <c r="B603" i="11"/>
  <c r="H512" i="2"/>
  <c r="E608" i="11" s="1"/>
  <c r="J512" i="2"/>
  <c r="F608" i="11" s="1"/>
  <c r="L512" i="2"/>
  <c r="G608" i="11" s="1"/>
  <c r="B609" i="11"/>
  <c r="B610" i="11"/>
  <c r="B611" i="11"/>
  <c r="F522" i="2"/>
  <c r="D615" i="11" s="1"/>
  <c r="H522" i="2"/>
  <c r="D526" i="2"/>
  <c r="F526" i="2"/>
  <c r="D619" i="11" s="1"/>
  <c r="H526" i="2"/>
  <c r="E619" i="11" s="1"/>
  <c r="F534" i="2"/>
  <c r="D627" i="11" s="1"/>
  <c r="H534" i="2"/>
  <c r="E627" i="11" s="1"/>
  <c r="J534" i="2"/>
  <c r="F627" i="11" s="1"/>
  <c r="D539" i="2"/>
  <c r="C632" i="11" s="1"/>
  <c r="F539" i="2"/>
  <c r="D632" i="11" s="1"/>
  <c r="D542" i="2"/>
  <c r="F542" i="2"/>
  <c r="H542" i="2"/>
  <c r="E635" i="11" s="1"/>
  <c r="J542" i="2"/>
  <c r="F635" i="11" s="1"/>
  <c r="B550" i="2"/>
  <c r="B641" i="11" s="1"/>
  <c r="B551" i="2"/>
  <c r="B642" i="11" s="1"/>
  <c r="B552" i="2"/>
  <c r="B643" i="11" s="1"/>
  <c r="B556" i="2"/>
  <c r="B647" i="11" s="1"/>
  <c r="B558" i="2"/>
  <c r="B649" i="11" s="1"/>
  <c r="B559" i="2"/>
  <c r="B650" i="11" s="1"/>
  <c r="B560" i="2"/>
  <c r="B651" i="11" s="1"/>
  <c r="N6" i="3"/>
  <c r="O6" i="3"/>
  <c r="N7" i="3"/>
  <c r="O7" i="3"/>
  <c r="N11" i="3"/>
  <c r="O11" i="3"/>
  <c r="N12" i="3"/>
  <c r="O12" i="3"/>
  <c r="N13" i="3"/>
  <c r="N18" i="3" s="1"/>
  <c r="O13" i="3"/>
  <c r="N14" i="3"/>
  <c r="O14" i="3"/>
  <c r="N15" i="3"/>
  <c r="O15" i="3"/>
  <c r="N16" i="3"/>
  <c r="O16" i="3"/>
  <c r="O18" i="3" s="1"/>
  <c r="N17" i="3"/>
  <c r="O17" i="3"/>
  <c r="B18" i="3"/>
  <c r="C18" i="3"/>
  <c r="D18" i="3"/>
  <c r="E18" i="3"/>
  <c r="F18" i="3"/>
  <c r="G18" i="3"/>
  <c r="H18" i="3"/>
  <c r="I18" i="3"/>
  <c r="J18" i="3"/>
  <c r="K18" i="3"/>
  <c r="L18" i="3"/>
  <c r="M18" i="3"/>
  <c r="I24" i="3"/>
  <c r="J6" i="4"/>
  <c r="K6" i="4"/>
  <c r="J7" i="4"/>
  <c r="K7" i="4"/>
  <c r="J11" i="4"/>
  <c r="K11" i="4"/>
  <c r="J12" i="4"/>
  <c r="J18" i="4" s="1"/>
  <c r="K12" i="4"/>
  <c r="J13" i="4"/>
  <c r="K13" i="4"/>
  <c r="J14" i="4"/>
  <c r="K14" i="4"/>
  <c r="J15" i="4"/>
  <c r="K15" i="4"/>
  <c r="J16" i="4"/>
  <c r="K16" i="4"/>
  <c r="J17" i="4"/>
  <c r="K17" i="4"/>
  <c r="K18" i="4" s="1"/>
  <c r="B18" i="4"/>
  <c r="C18" i="4"/>
  <c r="D18" i="4"/>
  <c r="E18" i="4"/>
  <c r="F18" i="4"/>
  <c r="G18" i="4"/>
  <c r="H18" i="4"/>
  <c r="I18" i="4"/>
  <c r="G23" i="4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B38" i="5"/>
  <c r="B42" i="5" s="1"/>
  <c r="C38" i="5"/>
  <c r="C42" i="5" s="1"/>
  <c r="D38" i="5"/>
  <c r="D42" i="5" s="1"/>
  <c r="E38" i="5"/>
  <c r="E42" i="5" s="1"/>
  <c r="F38" i="5"/>
  <c r="F42" i="5" s="1"/>
  <c r="G38" i="5"/>
  <c r="G42" i="5" s="1"/>
  <c r="H38" i="5"/>
  <c r="H42" i="5" s="1"/>
  <c r="I38" i="5"/>
  <c r="I42" i="5" s="1"/>
  <c r="J38" i="5"/>
  <c r="J42" i="5" s="1"/>
  <c r="L38" i="5"/>
  <c r="L42" i="5" s="1"/>
  <c r="M38" i="5"/>
  <c r="M42" i="5" s="1"/>
  <c r="K40" i="5"/>
  <c r="K41" i="5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7" i="6"/>
  <c r="P8" i="6"/>
  <c r="P9" i="6"/>
  <c r="P10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O4" i="6" s="1"/>
  <c r="P13" i="6"/>
  <c r="P14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8" i="6"/>
  <c r="P19" i="6"/>
  <c r="P20" i="6"/>
  <c r="P21" i="6"/>
  <c r="P22" i="6"/>
  <c r="P25" i="6"/>
  <c r="P26" i="6"/>
  <c r="P27" i="6"/>
  <c r="B28" i="6"/>
  <c r="B24" i="6" s="1"/>
  <c r="C28" i="6"/>
  <c r="C24" i="6" s="1"/>
  <c r="D28" i="6"/>
  <c r="D24" i="6" s="1"/>
  <c r="E28" i="6"/>
  <c r="E24" i="6" s="1"/>
  <c r="F28" i="6"/>
  <c r="F24" i="6" s="1"/>
  <c r="G28" i="6"/>
  <c r="G24" i="6" s="1"/>
  <c r="H28" i="6"/>
  <c r="H24" i="6" s="1"/>
  <c r="I28" i="6"/>
  <c r="I24" i="6"/>
  <c r="J28" i="6"/>
  <c r="J24" i="6" s="1"/>
  <c r="K28" i="6"/>
  <c r="K24" i="6" s="1"/>
  <c r="L28" i="6"/>
  <c r="L24" i="6" s="1"/>
  <c r="M28" i="6"/>
  <c r="M24" i="6" s="1"/>
  <c r="N28" i="6"/>
  <c r="N24" i="6" s="1"/>
  <c r="O28" i="6"/>
  <c r="O24" i="6" s="1"/>
  <c r="P29" i="6"/>
  <c r="P30" i="6"/>
  <c r="P31" i="6"/>
  <c r="P32" i="6"/>
  <c r="P33" i="6"/>
  <c r="P34" i="6"/>
  <c r="P35" i="6"/>
  <c r="P36" i="6"/>
  <c r="P37" i="6"/>
  <c r="P38" i="6"/>
  <c r="P39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2" i="6"/>
  <c r="P43" i="6"/>
  <c r="P44" i="6"/>
  <c r="P45" i="6"/>
  <c r="P46" i="6"/>
  <c r="B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50" i="6"/>
  <c r="P51" i="6"/>
  <c r="C10" i="7"/>
  <c r="C22" i="11"/>
  <c r="D22" i="11"/>
  <c r="E22" i="11"/>
  <c r="F22" i="11"/>
  <c r="C24" i="11"/>
  <c r="D24" i="11"/>
  <c r="E24" i="11"/>
  <c r="F24" i="11"/>
  <c r="C25" i="11"/>
  <c r="D25" i="11"/>
  <c r="E25" i="11"/>
  <c r="F25" i="11"/>
  <c r="C26" i="11"/>
  <c r="D26" i="11"/>
  <c r="E26" i="11"/>
  <c r="F26" i="11"/>
  <c r="C28" i="11"/>
  <c r="D28" i="11"/>
  <c r="E28" i="11"/>
  <c r="F28" i="11"/>
  <c r="C30" i="11"/>
  <c r="D30" i="11"/>
  <c r="E30" i="11"/>
  <c r="F30" i="11"/>
  <c r="C31" i="11"/>
  <c r="D31" i="11"/>
  <c r="E31" i="11"/>
  <c r="F31" i="11"/>
  <c r="C32" i="11"/>
  <c r="D32" i="11"/>
  <c r="E32" i="11"/>
  <c r="F32" i="11"/>
  <c r="C34" i="11"/>
  <c r="D34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4" i="11"/>
  <c r="D44" i="11"/>
  <c r="C45" i="11"/>
  <c r="D45" i="11"/>
  <c r="C47" i="11"/>
  <c r="D47" i="11"/>
  <c r="E47" i="11"/>
  <c r="F47" i="11"/>
  <c r="C49" i="11"/>
  <c r="D49" i="11"/>
  <c r="C50" i="11"/>
  <c r="D50" i="11"/>
  <c r="C51" i="11"/>
  <c r="D51" i="11"/>
  <c r="C53" i="11"/>
  <c r="F53" i="11"/>
  <c r="C55" i="11"/>
  <c r="D55" i="11"/>
  <c r="E55" i="11"/>
  <c r="F55" i="11"/>
  <c r="C57" i="11"/>
  <c r="D57" i="11"/>
  <c r="E57" i="11"/>
  <c r="F57" i="11"/>
  <c r="C59" i="11"/>
  <c r="D59" i="11"/>
  <c r="E59" i="11"/>
  <c r="F59" i="11"/>
  <c r="C60" i="11"/>
  <c r="D60" i="11"/>
  <c r="E60" i="11"/>
  <c r="F60" i="11"/>
  <c r="C62" i="11"/>
  <c r="D62" i="11"/>
  <c r="E62" i="11"/>
  <c r="F62" i="11"/>
  <c r="C63" i="11"/>
  <c r="D63" i="11"/>
  <c r="E63" i="11"/>
  <c r="F63" i="11"/>
  <c r="C66" i="11"/>
  <c r="D66" i="11"/>
  <c r="E66" i="11"/>
  <c r="F66" i="11"/>
  <c r="C67" i="11"/>
  <c r="D67" i="11"/>
  <c r="E67" i="11"/>
  <c r="F67" i="11"/>
  <c r="C69" i="11"/>
  <c r="D69" i="11"/>
  <c r="E69" i="11"/>
  <c r="F69" i="11"/>
  <c r="C70" i="11"/>
  <c r="D70" i="11"/>
  <c r="E70" i="11"/>
  <c r="F70" i="11"/>
  <c r="C72" i="11"/>
  <c r="D72" i="11"/>
  <c r="E72" i="11"/>
  <c r="F72" i="11"/>
  <c r="C73" i="11"/>
  <c r="D73" i="11"/>
  <c r="E73" i="11"/>
  <c r="F73" i="11"/>
  <c r="C75" i="11"/>
  <c r="D75" i="11"/>
  <c r="E75" i="11"/>
  <c r="F75" i="11"/>
  <c r="C76" i="11"/>
  <c r="D76" i="11"/>
  <c r="E76" i="11"/>
  <c r="F76" i="11"/>
  <c r="C79" i="11"/>
  <c r="D79" i="11"/>
  <c r="C80" i="11"/>
  <c r="D80" i="11"/>
  <c r="C82" i="11"/>
  <c r="D82" i="11"/>
  <c r="E82" i="11"/>
  <c r="F82" i="11"/>
  <c r="C83" i="11"/>
  <c r="D83" i="11"/>
  <c r="E83" i="11"/>
  <c r="F83" i="11"/>
  <c r="C85" i="11"/>
  <c r="D85" i="11"/>
  <c r="E85" i="11"/>
  <c r="F85" i="11"/>
  <c r="C86" i="11"/>
  <c r="D86" i="11"/>
  <c r="E86" i="11"/>
  <c r="F86" i="11"/>
  <c r="C88" i="11"/>
  <c r="D88" i="11"/>
  <c r="E88" i="11"/>
  <c r="F88" i="11"/>
  <c r="C89" i="11"/>
  <c r="D89" i="11"/>
  <c r="E89" i="11"/>
  <c r="F89" i="11"/>
  <c r="B91" i="11"/>
  <c r="C91" i="11"/>
  <c r="D91" i="11"/>
  <c r="E91" i="11"/>
  <c r="F91" i="11"/>
  <c r="C93" i="11"/>
  <c r="D93" i="11"/>
  <c r="C94" i="11"/>
  <c r="D94" i="11"/>
  <c r="E94" i="11"/>
  <c r="F94" i="11"/>
  <c r="C95" i="11"/>
  <c r="D95" i="11"/>
  <c r="E95" i="11"/>
  <c r="F95" i="11"/>
  <c r="C96" i="11"/>
  <c r="D96" i="11"/>
  <c r="E96" i="11"/>
  <c r="F96" i="11"/>
  <c r="C99" i="11"/>
  <c r="D99" i="11"/>
  <c r="C100" i="11"/>
  <c r="D100" i="11"/>
  <c r="E100" i="11"/>
  <c r="F100" i="11"/>
  <c r="C101" i="11"/>
  <c r="D101" i="11"/>
  <c r="C102" i="11"/>
  <c r="D102" i="11"/>
  <c r="E102" i="11"/>
  <c r="F102" i="11"/>
  <c r="C104" i="11"/>
  <c r="D104" i="11"/>
  <c r="E104" i="11"/>
  <c r="F104" i="11"/>
  <c r="C105" i="11"/>
  <c r="D105" i="11"/>
  <c r="E105" i="11"/>
  <c r="F105" i="11"/>
  <c r="F106" i="11"/>
  <c r="C107" i="11"/>
  <c r="D107" i="11"/>
  <c r="E107" i="11"/>
  <c r="F107" i="11"/>
  <c r="C108" i="11"/>
  <c r="D108" i="11"/>
  <c r="E108" i="11"/>
  <c r="F108" i="11"/>
  <c r="C110" i="11"/>
  <c r="D110" i="11"/>
  <c r="E110" i="11"/>
  <c r="F110" i="11"/>
  <c r="C111" i="11"/>
  <c r="D111" i="11"/>
  <c r="E111" i="11"/>
  <c r="F111" i="11"/>
  <c r="C114" i="11"/>
  <c r="D114" i="11"/>
  <c r="E114" i="11"/>
  <c r="F114" i="11"/>
  <c r="C115" i="11"/>
  <c r="D115" i="11"/>
  <c r="E115" i="11"/>
  <c r="F115" i="11"/>
  <c r="C118" i="11"/>
  <c r="D118" i="11"/>
  <c r="E118" i="11"/>
  <c r="F118" i="11"/>
  <c r="C119" i="11"/>
  <c r="D119" i="11"/>
  <c r="E119" i="11"/>
  <c r="F119" i="11"/>
  <c r="C120" i="11"/>
  <c r="D120" i="11"/>
  <c r="E120" i="11"/>
  <c r="F120" i="11"/>
  <c r="C122" i="11"/>
  <c r="D122" i="11"/>
  <c r="E122" i="11"/>
  <c r="F122" i="11"/>
  <c r="C123" i="11"/>
  <c r="D123" i="11"/>
  <c r="E123" i="11"/>
  <c r="F123" i="11"/>
  <c r="C124" i="11"/>
  <c r="D124" i="11"/>
  <c r="E124" i="11"/>
  <c r="F124" i="11"/>
  <c r="C125" i="11"/>
  <c r="D125" i="11"/>
  <c r="E125" i="11"/>
  <c r="F125" i="11"/>
  <c r="C126" i="11"/>
  <c r="D126" i="11"/>
  <c r="E126" i="11"/>
  <c r="F126" i="11"/>
  <c r="C128" i="11"/>
  <c r="D128" i="11"/>
  <c r="E128" i="11"/>
  <c r="F128" i="11"/>
  <c r="C129" i="11"/>
  <c r="D129" i="11"/>
  <c r="E129" i="11"/>
  <c r="F129" i="11"/>
  <c r="C130" i="11"/>
  <c r="D130" i="11"/>
  <c r="E130" i="11"/>
  <c r="F130" i="11"/>
  <c r="C132" i="11"/>
  <c r="D132" i="11"/>
  <c r="E132" i="11"/>
  <c r="F132" i="11"/>
  <c r="C133" i="11"/>
  <c r="D133" i="11"/>
  <c r="E133" i="11"/>
  <c r="F133" i="11"/>
  <c r="C134" i="11"/>
  <c r="D134" i="11"/>
  <c r="E134" i="11"/>
  <c r="F134" i="11"/>
  <c r="C136" i="11"/>
  <c r="D136" i="11"/>
  <c r="E136" i="11"/>
  <c r="F136" i="11"/>
  <c r="C137" i="11"/>
  <c r="D137" i="11"/>
  <c r="E137" i="11"/>
  <c r="F137" i="11"/>
  <c r="C138" i="11"/>
  <c r="D138" i="11"/>
  <c r="E138" i="11"/>
  <c r="F138" i="11"/>
  <c r="C139" i="11"/>
  <c r="D139" i="11"/>
  <c r="E139" i="11"/>
  <c r="F139" i="11"/>
  <c r="C140" i="11"/>
  <c r="D140" i="11"/>
  <c r="E140" i="11"/>
  <c r="F140" i="11"/>
  <c r="C142" i="11"/>
  <c r="D142" i="11"/>
  <c r="E142" i="11"/>
  <c r="F142" i="11"/>
  <c r="C143" i="11"/>
  <c r="D143" i="11"/>
  <c r="E143" i="11"/>
  <c r="F143" i="11"/>
  <c r="C144" i="11"/>
  <c r="D144" i="11"/>
  <c r="E144" i="11"/>
  <c r="F144" i="11"/>
  <c r="C145" i="11"/>
  <c r="D145" i="11"/>
  <c r="E145" i="11"/>
  <c r="F145" i="11"/>
  <c r="C148" i="11"/>
  <c r="D148" i="11"/>
  <c r="E148" i="11"/>
  <c r="F148" i="11"/>
  <c r="C149" i="11"/>
  <c r="D149" i="11"/>
  <c r="E149" i="11"/>
  <c r="F149" i="11"/>
  <c r="C152" i="11"/>
  <c r="D152" i="11"/>
  <c r="E152" i="11"/>
  <c r="F152" i="11"/>
  <c r="C153" i="11"/>
  <c r="D153" i="11"/>
  <c r="E153" i="11"/>
  <c r="F153" i="11"/>
  <c r="C156" i="11"/>
  <c r="D156" i="11"/>
  <c r="C157" i="11"/>
  <c r="D157" i="11"/>
  <c r="C158" i="11"/>
  <c r="C159" i="11"/>
  <c r="D159" i="11"/>
  <c r="E159" i="11"/>
  <c r="F159" i="11"/>
  <c r="C160" i="11"/>
  <c r="D160" i="11"/>
  <c r="E160" i="11"/>
  <c r="F160" i="11"/>
  <c r="C162" i="11"/>
  <c r="D162" i="11"/>
  <c r="E162" i="11"/>
  <c r="F162" i="11"/>
  <c r="C163" i="11"/>
  <c r="D163" i="11"/>
  <c r="E163" i="11"/>
  <c r="F163" i="11"/>
  <c r="B167" i="11"/>
  <c r="B169" i="11"/>
  <c r="B170" i="11"/>
  <c r="B171" i="11"/>
  <c r="B172" i="11"/>
  <c r="B173" i="11"/>
  <c r="B175" i="11"/>
  <c r="B176" i="11"/>
  <c r="B177" i="11"/>
  <c r="B178" i="11"/>
  <c r="B179" i="11"/>
  <c r="B181" i="11"/>
  <c r="B182" i="11"/>
  <c r="B183" i="11"/>
  <c r="B184" i="11"/>
  <c r="B185" i="11"/>
  <c r="B187" i="11"/>
  <c r="B188" i="11"/>
  <c r="B189" i="11"/>
  <c r="B190" i="11"/>
  <c r="B191" i="11"/>
  <c r="B193" i="11"/>
  <c r="B194" i="11"/>
  <c r="B195" i="11"/>
  <c r="B196" i="11"/>
  <c r="B197" i="11"/>
  <c r="B199" i="11"/>
  <c r="B200" i="11"/>
  <c r="B201" i="11"/>
  <c r="B202" i="11"/>
  <c r="B206" i="11"/>
  <c r="B208" i="11"/>
  <c r="B209" i="11"/>
  <c r="B210" i="11"/>
  <c r="B211" i="11"/>
  <c r="B212" i="11"/>
  <c r="B214" i="11"/>
  <c r="B215" i="11"/>
  <c r="B216" i="11"/>
  <c r="B217" i="11"/>
  <c r="B218" i="11"/>
  <c r="B220" i="11"/>
  <c r="B221" i="11"/>
  <c r="B222" i="11"/>
  <c r="B223" i="11"/>
  <c r="B224" i="11"/>
  <c r="B226" i="11"/>
  <c r="B227" i="11"/>
  <c r="B228" i="11"/>
  <c r="B229" i="11"/>
  <c r="B230" i="11"/>
  <c r="B232" i="11"/>
  <c r="B233" i="11"/>
  <c r="B234" i="11"/>
  <c r="B235" i="11"/>
  <c r="B236" i="11"/>
  <c r="B238" i="11"/>
  <c r="B239" i="11"/>
  <c r="B240" i="11"/>
  <c r="B241" i="11"/>
  <c r="B242" i="11"/>
  <c r="B244" i="11"/>
  <c r="B245" i="11"/>
  <c r="B246" i="11"/>
  <c r="B247" i="11"/>
  <c r="B248" i="11"/>
  <c r="B250" i="11"/>
  <c r="B251" i="11"/>
  <c r="B252" i="11"/>
  <c r="B253" i="11"/>
  <c r="B254" i="11"/>
  <c r="B256" i="11"/>
  <c r="B257" i="11"/>
  <c r="B258" i="11"/>
  <c r="B259" i="11"/>
  <c r="B260" i="11"/>
  <c r="B262" i="11"/>
  <c r="B263" i="11"/>
  <c r="B264" i="11"/>
  <c r="B265" i="11"/>
  <c r="B266" i="11"/>
  <c r="B268" i="11"/>
  <c r="B269" i="11"/>
  <c r="B270" i="11"/>
  <c r="B271" i="11"/>
  <c r="C275" i="11"/>
  <c r="D275" i="11"/>
  <c r="E275" i="11"/>
  <c r="F275" i="11"/>
  <c r="C276" i="11"/>
  <c r="D276" i="11"/>
  <c r="E276" i="11"/>
  <c r="F276" i="11"/>
  <c r="C278" i="11"/>
  <c r="D278" i="11"/>
  <c r="E278" i="11"/>
  <c r="F278" i="11"/>
  <c r="C279" i="11"/>
  <c r="D279" i="11"/>
  <c r="E279" i="11"/>
  <c r="F279" i="11"/>
  <c r="C280" i="11"/>
  <c r="D280" i="11"/>
  <c r="E280" i="11"/>
  <c r="F280" i="11"/>
  <c r="C281" i="11"/>
  <c r="D281" i="11"/>
  <c r="E281" i="11"/>
  <c r="F281" i="11"/>
  <c r="C282" i="11"/>
  <c r="D282" i="11"/>
  <c r="E282" i="11"/>
  <c r="F282" i="11"/>
  <c r="C283" i="11"/>
  <c r="D283" i="11"/>
  <c r="E283" i="11"/>
  <c r="F283" i="11"/>
  <c r="C284" i="11"/>
  <c r="D284" i="11"/>
  <c r="E284" i="11"/>
  <c r="F284" i="11"/>
  <c r="C285" i="11"/>
  <c r="D285" i="11"/>
  <c r="E285" i="11"/>
  <c r="F285" i="11"/>
  <c r="C286" i="11"/>
  <c r="D286" i="11"/>
  <c r="E286" i="11"/>
  <c r="F286" i="11"/>
  <c r="C287" i="11"/>
  <c r="D287" i="11"/>
  <c r="E287" i="11"/>
  <c r="F287" i="11"/>
  <c r="C288" i="11"/>
  <c r="D288" i="11"/>
  <c r="E288" i="11"/>
  <c r="F288" i="11"/>
  <c r="C290" i="11"/>
  <c r="D290" i="11"/>
  <c r="E290" i="11"/>
  <c r="F290" i="11"/>
  <c r="C291" i="11"/>
  <c r="D291" i="11"/>
  <c r="E291" i="11"/>
  <c r="F291" i="11"/>
  <c r="C292" i="11"/>
  <c r="D292" i="11"/>
  <c r="E292" i="11"/>
  <c r="F292" i="11"/>
  <c r="C294" i="11"/>
  <c r="D294" i="11"/>
  <c r="E294" i="11"/>
  <c r="F294" i="11"/>
  <c r="C295" i="11"/>
  <c r="D295" i="11"/>
  <c r="E295" i="11"/>
  <c r="F295" i="11"/>
  <c r="C296" i="11"/>
  <c r="D296" i="11"/>
  <c r="E296" i="11"/>
  <c r="F296" i="11"/>
  <c r="C298" i="11"/>
  <c r="D298" i="11"/>
  <c r="E298" i="11"/>
  <c r="F298" i="11"/>
  <c r="C299" i="11"/>
  <c r="D299" i="11"/>
  <c r="E299" i="11"/>
  <c r="F299" i="11"/>
  <c r="C300" i="11"/>
  <c r="D300" i="11"/>
  <c r="E300" i="11"/>
  <c r="F300" i="11"/>
  <c r="C302" i="11"/>
  <c r="D302" i="11"/>
  <c r="E302" i="11"/>
  <c r="F302" i="11"/>
  <c r="C303" i="11"/>
  <c r="D303" i="11"/>
  <c r="E303" i="11"/>
  <c r="F303" i="11"/>
  <c r="C304" i="11"/>
  <c r="D304" i="11"/>
  <c r="E304" i="11"/>
  <c r="F304" i="11"/>
  <c r="C305" i="11"/>
  <c r="D305" i="11"/>
  <c r="E305" i="11"/>
  <c r="F305" i="11"/>
  <c r="C307" i="11"/>
  <c r="D307" i="11"/>
  <c r="E307" i="11"/>
  <c r="F307" i="11"/>
  <c r="C308" i="11"/>
  <c r="D308" i="11"/>
  <c r="E308" i="11"/>
  <c r="F308" i="11"/>
  <c r="C309" i="11"/>
  <c r="D309" i="11"/>
  <c r="E309" i="11"/>
  <c r="F309" i="11"/>
  <c r="C311" i="11"/>
  <c r="D311" i="11"/>
  <c r="E311" i="11"/>
  <c r="F311" i="11"/>
  <c r="C312" i="11"/>
  <c r="D312" i="11"/>
  <c r="E312" i="11"/>
  <c r="F312" i="11"/>
  <c r="C314" i="11"/>
  <c r="D314" i="11"/>
  <c r="E314" i="11"/>
  <c r="F314" i="11"/>
  <c r="C315" i="11"/>
  <c r="D315" i="11"/>
  <c r="E315" i="11"/>
  <c r="F315" i="11"/>
  <c r="C316" i="11"/>
  <c r="D316" i="11"/>
  <c r="E316" i="11"/>
  <c r="F316" i="11"/>
  <c r="C318" i="11"/>
  <c r="D318" i="11"/>
  <c r="E318" i="11"/>
  <c r="F318" i="11"/>
  <c r="C319" i="11"/>
  <c r="D319" i="11"/>
  <c r="E319" i="11"/>
  <c r="F319" i="11"/>
  <c r="C321" i="11"/>
  <c r="D321" i="11"/>
  <c r="E321" i="11"/>
  <c r="F321" i="11"/>
  <c r="C322" i="11"/>
  <c r="D322" i="11"/>
  <c r="E322" i="11"/>
  <c r="F322" i="11"/>
  <c r="C323" i="11"/>
  <c r="D323" i="11"/>
  <c r="E323" i="11"/>
  <c r="F323" i="11"/>
  <c r="C324" i="11"/>
  <c r="D324" i="11"/>
  <c r="E324" i="11"/>
  <c r="F324" i="11"/>
  <c r="C326" i="11"/>
  <c r="D326" i="11"/>
  <c r="E326" i="11"/>
  <c r="F326" i="11"/>
  <c r="C327" i="11"/>
  <c r="D327" i="11"/>
  <c r="E327" i="11"/>
  <c r="F327" i="11"/>
  <c r="B330" i="11"/>
  <c r="B332" i="11"/>
  <c r="B333" i="11"/>
  <c r="B334" i="11"/>
  <c r="B335" i="11"/>
  <c r="B336" i="11"/>
  <c r="B338" i="11"/>
  <c r="B339" i="11"/>
  <c r="B340" i="11"/>
  <c r="B341" i="11"/>
  <c r="B342" i="11"/>
  <c r="B344" i="11"/>
  <c r="B345" i="11"/>
  <c r="B346" i="11"/>
  <c r="B347" i="11"/>
  <c r="B348" i="11"/>
  <c r="B350" i="11"/>
  <c r="B351" i="11"/>
  <c r="B352" i="11"/>
  <c r="B353" i="11"/>
  <c r="B354" i="11"/>
  <c r="B356" i="11"/>
  <c r="B357" i="11"/>
  <c r="B358" i="11"/>
  <c r="B359" i="11"/>
  <c r="B360" i="11"/>
  <c r="B362" i="11"/>
  <c r="B363" i="11"/>
  <c r="B364" i="11"/>
  <c r="B365" i="11"/>
  <c r="B366" i="11"/>
  <c r="B368" i="11"/>
  <c r="B369" i="11"/>
  <c r="B370" i="11"/>
  <c r="B371" i="11"/>
  <c r="C375" i="11"/>
  <c r="D375" i="11"/>
  <c r="E375" i="11"/>
  <c r="F375" i="11"/>
  <c r="C376" i="11"/>
  <c r="D376" i="11"/>
  <c r="E376" i="11"/>
  <c r="F376" i="11"/>
  <c r="C377" i="11"/>
  <c r="D377" i="11"/>
  <c r="E377" i="11"/>
  <c r="F377" i="11"/>
  <c r="C378" i="11"/>
  <c r="D378" i="11"/>
  <c r="E378" i="11"/>
  <c r="F378" i="11"/>
  <c r="C379" i="11"/>
  <c r="D379" i="11"/>
  <c r="E379" i="11"/>
  <c r="F379" i="11"/>
  <c r="C380" i="11"/>
  <c r="D380" i="11"/>
  <c r="E380" i="11"/>
  <c r="F380" i="11"/>
  <c r="C382" i="11"/>
  <c r="D382" i="11"/>
  <c r="E382" i="11"/>
  <c r="F382" i="11"/>
  <c r="C383" i="11"/>
  <c r="D383" i="11"/>
  <c r="E383" i="11"/>
  <c r="F383" i="11"/>
  <c r="C397" i="11"/>
  <c r="D397" i="11"/>
  <c r="E397" i="11"/>
  <c r="F397" i="11"/>
  <c r="C398" i="11"/>
  <c r="D398" i="11"/>
  <c r="E398" i="11"/>
  <c r="F398" i="11"/>
  <c r="C399" i="11"/>
  <c r="D399" i="11"/>
  <c r="E399" i="11"/>
  <c r="F399" i="11"/>
  <c r="C400" i="11"/>
  <c r="D400" i="11"/>
  <c r="E400" i="11"/>
  <c r="F400" i="11"/>
  <c r="C401" i="11"/>
  <c r="D401" i="11"/>
  <c r="E401" i="11"/>
  <c r="F401" i="11"/>
  <c r="C402" i="11"/>
  <c r="D402" i="11"/>
  <c r="E402" i="11"/>
  <c r="F402" i="11"/>
  <c r="C403" i="11"/>
  <c r="D403" i="11"/>
  <c r="E403" i="11"/>
  <c r="F403" i="11"/>
  <c r="C405" i="11"/>
  <c r="D405" i="11"/>
  <c r="E405" i="11"/>
  <c r="F405" i="11"/>
  <c r="C406" i="11"/>
  <c r="D406" i="11"/>
  <c r="E406" i="11"/>
  <c r="F406" i="11"/>
  <c r="C407" i="11"/>
  <c r="D407" i="11"/>
  <c r="E407" i="11"/>
  <c r="F407" i="11"/>
  <c r="C408" i="11"/>
  <c r="D408" i="11"/>
  <c r="E408" i="11"/>
  <c r="F408" i="11"/>
  <c r="C409" i="11"/>
  <c r="D409" i="11"/>
  <c r="E409" i="11"/>
  <c r="F409" i="11"/>
  <c r="C410" i="11"/>
  <c r="D410" i="11"/>
  <c r="E410" i="11"/>
  <c r="F410" i="11"/>
  <c r="C411" i="11"/>
  <c r="D411" i="11"/>
  <c r="E411" i="11"/>
  <c r="F411" i="11"/>
  <c r="C413" i="11"/>
  <c r="D413" i="11"/>
  <c r="E413" i="11"/>
  <c r="F413" i="11"/>
  <c r="C415" i="11"/>
  <c r="D415" i="11"/>
  <c r="E415" i="11"/>
  <c r="F415" i="11"/>
  <c r="C416" i="11"/>
  <c r="D416" i="11"/>
  <c r="E416" i="11"/>
  <c r="F416" i="11"/>
  <c r="C417" i="11"/>
  <c r="D417" i="11"/>
  <c r="E417" i="11"/>
  <c r="F417" i="11"/>
  <c r="C418" i="11"/>
  <c r="D418" i="11"/>
  <c r="E418" i="11"/>
  <c r="F418" i="11"/>
  <c r="C419" i="11"/>
  <c r="D419" i="11"/>
  <c r="E419" i="11"/>
  <c r="F419" i="11"/>
  <c r="C420" i="11"/>
  <c r="D420" i="11"/>
  <c r="E420" i="11"/>
  <c r="F420" i="11"/>
  <c r="C421" i="11"/>
  <c r="D421" i="11"/>
  <c r="E421" i="11"/>
  <c r="F421" i="11"/>
  <c r="B424" i="11"/>
  <c r="B426" i="11"/>
  <c r="B427" i="11"/>
  <c r="B428" i="11"/>
  <c r="B429" i="11"/>
  <c r="B430" i="11"/>
  <c r="B432" i="11"/>
  <c r="B433" i="11"/>
  <c r="B434" i="11"/>
  <c r="B435" i="11"/>
  <c r="C451" i="11"/>
  <c r="D451" i="11"/>
  <c r="E451" i="11"/>
  <c r="F451" i="11"/>
  <c r="C452" i="11"/>
  <c r="D452" i="11"/>
  <c r="E452" i="11"/>
  <c r="F452" i="11"/>
  <c r="C453" i="11"/>
  <c r="D453" i="11"/>
  <c r="E453" i="11"/>
  <c r="F453" i="11"/>
  <c r="C454" i="11"/>
  <c r="D454" i="11"/>
  <c r="E454" i="11"/>
  <c r="F454" i="11"/>
  <c r="C455" i="11"/>
  <c r="D455" i="11"/>
  <c r="E455" i="11"/>
  <c r="F455" i="11"/>
  <c r="C457" i="11"/>
  <c r="D457" i="11"/>
  <c r="E457" i="11"/>
  <c r="F457" i="11"/>
  <c r="C458" i="11"/>
  <c r="D458" i="11"/>
  <c r="E458" i="11"/>
  <c r="F458" i="11"/>
  <c r="C460" i="11"/>
  <c r="D460" i="11"/>
  <c r="E460" i="11"/>
  <c r="F460" i="11"/>
  <c r="C473" i="11"/>
  <c r="D473" i="11"/>
  <c r="E473" i="11"/>
  <c r="F473" i="11"/>
  <c r="C474" i="11"/>
  <c r="D474" i="11"/>
  <c r="E474" i="11"/>
  <c r="F474" i="11"/>
  <c r="C476" i="11"/>
  <c r="D476" i="11"/>
  <c r="E476" i="11"/>
  <c r="F476" i="11"/>
  <c r="C477" i="11"/>
  <c r="D477" i="11"/>
  <c r="E477" i="11"/>
  <c r="F477" i="11"/>
  <c r="C478" i="11"/>
  <c r="D478" i="11"/>
  <c r="E478" i="11"/>
  <c r="F478" i="11"/>
  <c r="C480" i="11"/>
  <c r="D480" i="11"/>
  <c r="E480" i="11"/>
  <c r="F480" i="11"/>
  <c r="C481" i="11"/>
  <c r="D481" i="11"/>
  <c r="E481" i="11"/>
  <c r="F481" i="11"/>
  <c r="C482" i="11"/>
  <c r="D482" i="11"/>
  <c r="E482" i="11"/>
  <c r="F482" i="11"/>
  <c r="C484" i="11"/>
  <c r="D484" i="11"/>
  <c r="E484" i="11"/>
  <c r="F484" i="11"/>
  <c r="C485" i="11"/>
  <c r="D485" i="11"/>
  <c r="E485" i="11"/>
  <c r="F485" i="11"/>
  <c r="C486" i="11"/>
  <c r="D486" i="11"/>
  <c r="E486" i="11"/>
  <c r="F486" i="11"/>
  <c r="C487" i="11"/>
  <c r="D487" i="11"/>
  <c r="E487" i="11"/>
  <c r="F487" i="11"/>
  <c r="C488" i="11"/>
  <c r="D488" i="11"/>
  <c r="E488" i="11"/>
  <c r="F488" i="11"/>
  <c r="C490" i="11"/>
  <c r="D490" i="11"/>
  <c r="E490" i="11"/>
  <c r="F490" i="11"/>
  <c r="C491" i="11"/>
  <c r="D491" i="11"/>
  <c r="E491" i="11"/>
  <c r="F491" i="11"/>
  <c r="C493" i="11"/>
  <c r="D493" i="11"/>
  <c r="E493" i="11"/>
  <c r="F493" i="11"/>
  <c r="C494" i="11"/>
  <c r="D494" i="11"/>
  <c r="E494" i="11"/>
  <c r="F494" i="11"/>
  <c r="C495" i="11"/>
  <c r="D495" i="11"/>
  <c r="E495" i="11"/>
  <c r="F495" i="11"/>
  <c r="C496" i="11"/>
  <c r="D496" i="11"/>
  <c r="E496" i="11"/>
  <c r="F496" i="11"/>
  <c r="C497" i="11"/>
  <c r="D497" i="11"/>
  <c r="E497" i="11"/>
  <c r="F497" i="11"/>
  <c r="C498" i="11"/>
  <c r="D498" i="11"/>
  <c r="E498" i="11"/>
  <c r="F498" i="11"/>
  <c r="C500" i="11"/>
  <c r="D500" i="11"/>
  <c r="E500" i="11"/>
  <c r="F500" i="11"/>
  <c r="C502" i="11"/>
  <c r="D502" i="11"/>
  <c r="E502" i="11"/>
  <c r="F502" i="11"/>
  <c r="C503" i="11"/>
  <c r="D503" i="11"/>
  <c r="E503" i="11"/>
  <c r="F503" i="11"/>
  <c r="C504" i="11"/>
  <c r="D504" i="11"/>
  <c r="E504" i="11"/>
  <c r="F504" i="11"/>
  <c r="C505" i="11"/>
  <c r="D505" i="11"/>
  <c r="E505" i="11"/>
  <c r="F505" i="11"/>
  <c r="B508" i="11"/>
  <c r="B510" i="11"/>
  <c r="B511" i="11"/>
  <c r="B512" i="11"/>
  <c r="B513" i="11"/>
  <c r="B514" i="11"/>
  <c r="B516" i="11"/>
  <c r="B517" i="11"/>
  <c r="B518" i="11"/>
  <c r="B519" i="11"/>
  <c r="B520" i="11"/>
  <c r="B522" i="11"/>
  <c r="B523" i="11"/>
  <c r="B524" i="11"/>
  <c r="B525" i="11"/>
  <c r="B526" i="11"/>
  <c r="B528" i="11"/>
  <c r="B529" i="11"/>
  <c r="B530" i="11"/>
  <c r="B531" i="11"/>
  <c r="B532" i="11"/>
  <c r="B534" i="11"/>
  <c r="B535" i="11"/>
  <c r="B536" i="11"/>
  <c r="B537" i="11"/>
  <c r="C540" i="11"/>
  <c r="D540" i="11"/>
  <c r="E540" i="11"/>
  <c r="F540" i="11"/>
  <c r="C541" i="11"/>
  <c r="D541" i="11"/>
  <c r="E541" i="11"/>
  <c r="F541" i="11"/>
  <c r="B544" i="11"/>
  <c r="B546" i="11"/>
  <c r="B547" i="11"/>
  <c r="B548" i="11"/>
  <c r="B549" i="11"/>
  <c r="B550" i="11"/>
  <c r="B552" i="11"/>
  <c r="B553" i="11"/>
  <c r="B554" i="11"/>
  <c r="B555" i="11"/>
  <c r="B556" i="11"/>
  <c r="B558" i="11"/>
  <c r="B559" i="11"/>
  <c r="B560" i="11"/>
  <c r="B561" i="11"/>
  <c r="C564" i="11"/>
  <c r="D564" i="11"/>
  <c r="E564" i="11"/>
  <c r="F564" i="11"/>
  <c r="C565" i="11"/>
  <c r="D565" i="11"/>
  <c r="E565" i="11"/>
  <c r="F565" i="11"/>
  <c r="C568" i="11"/>
  <c r="D568" i="11"/>
  <c r="E568" i="11"/>
  <c r="F568" i="11"/>
  <c r="C569" i="11"/>
  <c r="D569" i="11"/>
  <c r="E569" i="11"/>
  <c r="F569" i="11"/>
  <c r="C570" i="11"/>
  <c r="D570" i="11"/>
  <c r="E570" i="11"/>
  <c r="F570" i="11"/>
  <c r="C572" i="11"/>
  <c r="D572" i="11"/>
  <c r="E572" i="11"/>
  <c r="F572" i="11"/>
  <c r="C573" i="11"/>
  <c r="D573" i="11"/>
  <c r="E573" i="11"/>
  <c r="F573" i="11"/>
  <c r="C574" i="11"/>
  <c r="D574" i="11"/>
  <c r="E574" i="11"/>
  <c r="F574" i="11"/>
  <c r="C576" i="11"/>
  <c r="D576" i="11"/>
  <c r="E576" i="11"/>
  <c r="F576" i="11"/>
  <c r="C577" i="11"/>
  <c r="D577" i="11"/>
  <c r="E577" i="11"/>
  <c r="F577" i="11"/>
  <c r="C578" i="11"/>
  <c r="D578" i="11"/>
  <c r="E578" i="11"/>
  <c r="F578" i="11"/>
  <c r="C579" i="11"/>
  <c r="D579" i="11"/>
  <c r="C580" i="11"/>
  <c r="D580" i="11"/>
  <c r="C582" i="11"/>
  <c r="D582" i="11"/>
  <c r="E582" i="11"/>
  <c r="F582" i="11"/>
  <c r="C584" i="11"/>
  <c r="D584" i="11"/>
  <c r="E584" i="11"/>
  <c r="F584" i="11"/>
  <c r="C585" i="11"/>
  <c r="D585" i="11"/>
  <c r="E585" i="11"/>
  <c r="F585" i="11"/>
  <c r="B588" i="11"/>
  <c r="C588" i="11"/>
  <c r="B589" i="11"/>
  <c r="C589" i="11"/>
  <c r="B591" i="11"/>
  <c r="C591" i="11"/>
  <c r="D591" i="11"/>
  <c r="F591" i="11"/>
  <c r="G591" i="11"/>
  <c r="H591" i="11"/>
  <c r="B592" i="11"/>
  <c r="C592" i="11"/>
  <c r="D592" i="11"/>
  <c r="F592" i="11"/>
  <c r="G592" i="11"/>
  <c r="H592" i="11"/>
  <c r="C616" i="11"/>
  <c r="D616" i="11"/>
  <c r="E616" i="11"/>
  <c r="F616" i="11"/>
  <c r="C617" i="11"/>
  <c r="D617" i="11"/>
  <c r="E617" i="11"/>
  <c r="F617" i="11"/>
  <c r="C618" i="11"/>
  <c r="D618" i="11"/>
  <c r="E618" i="11"/>
  <c r="F618" i="11"/>
  <c r="C620" i="11"/>
  <c r="D620" i="11"/>
  <c r="E620" i="11"/>
  <c r="F620" i="11"/>
  <c r="C621" i="11"/>
  <c r="D621" i="11"/>
  <c r="E621" i="11"/>
  <c r="F621" i="11"/>
  <c r="C622" i="11"/>
  <c r="D622" i="11"/>
  <c r="E622" i="11"/>
  <c r="F622" i="11"/>
  <c r="C624" i="11"/>
  <c r="D624" i="11"/>
  <c r="E624" i="11"/>
  <c r="F624" i="11"/>
  <c r="C625" i="11"/>
  <c r="D625" i="11"/>
  <c r="E625" i="11"/>
  <c r="F625" i="11"/>
  <c r="C626" i="11"/>
  <c r="D626" i="11"/>
  <c r="E626" i="11"/>
  <c r="F626" i="11"/>
  <c r="C628" i="11"/>
  <c r="D628" i="11"/>
  <c r="E628" i="11"/>
  <c r="F628" i="11"/>
  <c r="C629" i="11"/>
  <c r="D629" i="11"/>
  <c r="E629" i="11"/>
  <c r="F629" i="11"/>
  <c r="C630" i="11"/>
  <c r="D630" i="11"/>
  <c r="E630" i="11"/>
  <c r="F630" i="11"/>
  <c r="C631" i="11"/>
  <c r="D631" i="11"/>
  <c r="E631" i="11"/>
  <c r="F631" i="11"/>
  <c r="C633" i="11"/>
  <c r="D633" i="11"/>
  <c r="C634" i="11"/>
  <c r="D634" i="11"/>
  <c r="E634" i="11"/>
  <c r="F634" i="11"/>
  <c r="C636" i="11"/>
  <c r="D636" i="11"/>
  <c r="E636" i="11"/>
  <c r="F636" i="11"/>
  <c r="C637" i="11"/>
  <c r="D637" i="11"/>
  <c r="E637" i="11"/>
  <c r="F637" i="11"/>
  <c r="C638" i="11"/>
  <c r="D638" i="11"/>
  <c r="E638" i="11"/>
  <c r="F638" i="11"/>
  <c r="E640" i="11"/>
  <c r="C641" i="11"/>
  <c r="D641" i="11"/>
  <c r="E641" i="11"/>
  <c r="F641" i="11"/>
  <c r="C642" i="11"/>
  <c r="D642" i="11"/>
  <c r="E642" i="11"/>
  <c r="F642" i="11"/>
  <c r="C643" i="11"/>
  <c r="D643" i="11"/>
  <c r="E643" i="11"/>
  <c r="F643" i="11"/>
  <c r="C645" i="11"/>
  <c r="D645" i="11"/>
  <c r="E645" i="11"/>
  <c r="F645" i="11"/>
  <c r="C646" i="11"/>
  <c r="D646" i="11"/>
  <c r="E646" i="11"/>
  <c r="F646" i="11"/>
  <c r="C647" i="11"/>
  <c r="D647" i="11"/>
  <c r="E647" i="11"/>
  <c r="F647" i="11"/>
  <c r="E648" i="11"/>
  <c r="C649" i="11"/>
  <c r="D649" i="11"/>
  <c r="E649" i="11"/>
  <c r="F649" i="11"/>
  <c r="C650" i="11"/>
  <c r="D650" i="11"/>
  <c r="E650" i="11"/>
  <c r="F650" i="11"/>
  <c r="C651" i="11"/>
  <c r="D651" i="11"/>
  <c r="E651" i="11"/>
  <c r="F651" i="11"/>
  <c r="B654" i="11"/>
  <c r="C12" i="7"/>
  <c r="C16" i="7" s="1"/>
  <c r="C30" i="9"/>
  <c r="B1105" i="11" s="1"/>
  <c r="H7" i="2"/>
  <c r="E5" i="11" s="1"/>
  <c r="E56" i="11"/>
  <c r="H39" i="2"/>
  <c r="C98" i="11"/>
  <c r="F619" i="11"/>
  <c r="D561" i="2" l="1"/>
  <c r="K4" i="6"/>
  <c r="C4" i="6"/>
  <c r="C47" i="6" s="1"/>
  <c r="C13" i="8"/>
  <c r="D35" i="11"/>
  <c r="F45" i="2"/>
  <c r="P49" i="6"/>
  <c r="P41" i="6"/>
  <c r="N4" i="6"/>
  <c r="N47" i="6" s="1"/>
  <c r="J4" i="6"/>
  <c r="F4" i="6"/>
  <c r="B4" i="6"/>
  <c r="B47" i="6" s="1"/>
  <c r="D45" i="2"/>
  <c r="C33" i="11" s="1"/>
  <c r="A498" i="11"/>
  <c r="A494" i="11"/>
  <c r="A490" i="11"/>
  <c r="A486" i="11"/>
  <c r="A482" i="11"/>
  <c r="A492" i="11"/>
  <c r="A484" i="11"/>
  <c r="A499" i="11"/>
  <c r="A491" i="11"/>
  <c r="A483" i="11"/>
  <c r="A497" i="11"/>
  <c r="A493" i="11"/>
  <c r="A489" i="11"/>
  <c r="A485" i="11"/>
  <c r="A481" i="11"/>
  <c r="A496" i="11"/>
  <c r="A488" i="11"/>
  <c r="A480" i="11"/>
  <c r="A495" i="11"/>
  <c r="A487" i="11"/>
  <c r="A449" i="11"/>
  <c r="A461" i="11"/>
  <c r="A457" i="11"/>
  <c r="A453" i="11"/>
  <c r="A421" i="11"/>
  <c r="A411" i="11"/>
  <c r="A403" i="11"/>
  <c r="A392" i="11"/>
  <c r="A388" i="11"/>
  <c r="A384" i="11"/>
  <c r="A1094" i="11"/>
  <c r="A1090" i="11"/>
  <c r="A1085" i="11"/>
  <c r="A1081" i="11"/>
  <c r="A1075" i="11"/>
  <c r="A1071" i="11"/>
  <c r="A1065" i="11"/>
  <c r="A1061" i="11"/>
  <c r="A1056" i="11"/>
  <c r="A1052" i="11"/>
  <c r="A1046" i="11"/>
  <c r="A1024" i="11"/>
  <c r="A1025" i="11"/>
  <c r="A1026" i="11"/>
  <c r="A1027" i="11"/>
  <c r="A1028" i="11"/>
  <c r="A1029" i="11"/>
  <c r="A1030" i="11"/>
  <c r="A1031" i="11"/>
  <c r="A1032" i="11"/>
  <c r="A1040" i="11"/>
  <c r="A1036" i="11"/>
  <c r="A1020" i="11"/>
  <c r="A1016" i="11"/>
  <c r="A987" i="11"/>
  <c r="A980" i="11"/>
  <c r="A976" i="11"/>
  <c r="A970" i="11"/>
  <c r="A966" i="11"/>
  <c r="A1069" i="11"/>
  <c r="A1041" i="11"/>
  <c r="A1002" i="11"/>
  <c r="A998" i="11"/>
  <c r="A994" i="11"/>
  <c r="A985" i="11"/>
  <c r="A679" i="11"/>
  <c r="A887" i="11"/>
  <c r="A883" i="11"/>
  <c r="A867" i="11"/>
  <c r="A880" i="11"/>
  <c r="A876" i="11"/>
  <c r="A872" i="11"/>
  <c r="A273" i="11"/>
  <c r="A471" i="11"/>
  <c r="A747" i="11"/>
  <c r="A910" i="11"/>
  <c r="A842" i="11"/>
  <c r="A838" i="11"/>
  <c r="A851" i="11"/>
  <c r="A847" i="11"/>
  <c r="A810" i="11"/>
  <c r="A814" i="11"/>
  <c r="A830" i="11"/>
  <c r="A806" i="11"/>
  <c r="A802" i="11"/>
  <c r="A824" i="11"/>
  <c r="A820" i="11"/>
  <c r="A798" i="11"/>
  <c r="A794" i="11"/>
  <c r="A790" i="11"/>
  <c r="A783" i="11"/>
  <c r="A862" i="11"/>
  <c r="A826" i="11"/>
  <c r="A785" i="11"/>
  <c r="A456" i="11"/>
  <c r="A452" i="11"/>
  <c r="A410" i="11"/>
  <c r="A391" i="11"/>
  <c r="A383" i="11"/>
  <c r="A1093" i="11"/>
  <c r="A1084" i="11"/>
  <c r="A1080" i="11"/>
  <c r="A1070" i="11"/>
  <c r="A1059" i="11"/>
  <c r="A1055" i="11"/>
  <c r="A458" i="11"/>
  <c r="A454" i="11"/>
  <c r="A450" i="11"/>
  <c r="A418" i="11"/>
  <c r="A408" i="11"/>
  <c r="A400" i="11"/>
  <c r="A389" i="11"/>
  <c r="A385" i="11"/>
  <c r="A381" i="11"/>
  <c r="A1091" i="11"/>
  <c r="A1086" i="11"/>
  <c r="A1082" i="11"/>
  <c r="A1078" i="11"/>
  <c r="A1072" i="11"/>
  <c r="A1066" i="11"/>
  <c r="A1062" i="11"/>
  <c r="A1057" i="11"/>
  <c r="A1053" i="11"/>
  <c r="A1047" i="11"/>
  <c r="A1043" i="11"/>
  <c r="A1037" i="11"/>
  <c r="A1021" i="11"/>
  <c r="A1017" i="11"/>
  <c r="A988" i="11"/>
  <c r="A981" i="11"/>
  <c r="A977" i="11"/>
  <c r="A971" i="11"/>
  <c r="A967" i="11"/>
  <c r="A1087" i="11"/>
  <c r="A1042" i="11"/>
  <c r="A1003" i="11"/>
  <c r="A999" i="11"/>
  <c r="A995" i="11"/>
  <c r="A991" i="11"/>
  <c r="A680" i="11"/>
  <c r="A888" i="11"/>
  <c r="A884" i="11"/>
  <c r="A868" i="11"/>
  <c r="A864" i="11"/>
  <c r="A877" i="11"/>
  <c r="A873" i="11"/>
  <c r="A150" i="11"/>
  <c r="A373" i="11"/>
  <c r="A721" i="11"/>
  <c r="A901" i="11"/>
  <c r="A1015" i="11"/>
  <c r="A839" i="11"/>
  <c r="A852" i="11"/>
  <c r="A848" i="11"/>
  <c r="A809" i="11"/>
  <c r="A813" i="11"/>
  <c r="A831" i="11"/>
  <c r="A827" i="11"/>
  <c r="A803" i="11"/>
  <c r="A825" i="11"/>
  <c r="A821" i="11"/>
  <c r="A817" i="11"/>
  <c r="A795" i="11"/>
  <c r="A791" i="11"/>
  <c r="A784" i="11"/>
  <c r="A881" i="11"/>
  <c r="A834" i="11"/>
  <c r="A799" i="11"/>
  <c r="A663" i="11"/>
  <c r="A460" i="11"/>
  <c r="A420" i="11"/>
  <c r="A402" i="11"/>
  <c r="A387" i="11"/>
  <c r="A1089" i="11"/>
  <c r="A1074" i="11"/>
  <c r="A1064" i="11"/>
  <c r="A1051" i="11"/>
  <c r="A455" i="11"/>
  <c r="A401" i="11"/>
  <c r="A1092" i="11"/>
  <c r="A1073" i="11"/>
  <c r="A1054" i="11"/>
  <c r="A1038" i="11"/>
  <c r="A1018" i="11"/>
  <c r="A982" i="11"/>
  <c r="A974" i="11"/>
  <c r="A1095" i="11"/>
  <c r="A1004" i="11"/>
  <c r="A996" i="11"/>
  <c r="A983" i="11"/>
  <c r="A885" i="11"/>
  <c r="A865" i="11"/>
  <c r="A874" i="11"/>
  <c r="A320" i="11"/>
  <c r="A890" i="11"/>
  <c r="A840" i="11"/>
  <c r="A849" i="11"/>
  <c r="A812" i="11"/>
  <c r="A828" i="11"/>
  <c r="A800" i="11"/>
  <c r="A818" i="11"/>
  <c r="A792" i="11"/>
  <c r="A889" i="11"/>
  <c r="A807" i="11"/>
  <c r="A451" i="11"/>
  <c r="A390" i="11"/>
  <c r="A1088" i="11"/>
  <c r="A1067" i="11"/>
  <c r="A1048" i="11"/>
  <c r="A1035" i="11"/>
  <c r="A990" i="11"/>
  <c r="A979" i="11"/>
  <c r="A969" i="11"/>
  <c r="A1068" i="11"/>
  <c r="A1001" i="11"/>
  <c r="A993" i="11"/>
  <c r="A882" i="11"/>
  <c r="A56" i="11"/>
  <c r="A964" i="11"/>
  <c r="A846" i="11"/>
  <c r="A805" i="11"/>
  <c r="A823" i="11"/>
  <c r="A797" i="11"/>
  <c r="A854" i="11"/>
  <c r="A665" i="11"/>
  <c r="A419" i="11"/>
  <c r="A1083" i="11"/>
  <c r="A1063" i="11"/>
  <c r="A1034" i="11"/>
  <c r="A978" i="11"/>
  <c r="A968" i="11"/>
  <c r="A1000" i="11"/>
  <c r="A992" i="11"/>
  <c r="A855" i="11"/>
  <c r="A856" i="11"/>
  <c r="A858" i="11"/>
  <c r="A860" i="11"/>
  <c r="A861" i="11"/>
  <c r="A878" i="11"/>
  <c r="A116" i="11"/>
  <c r="A1009" i="11"/>
  <c r="A845" i="11"/>
  <c r="A804" i="11"/>
  <c r="A796" i="11"/>
  <c r="A786" i="11"/>
  <c r="A664" i="11"/>
  <c r="A459" i="11"/>
  <c r="A409" i="11"/>
  <c r="A382" i="11"/>
  <c r="A1079" i="11"/>
  <c r="A1058" i="11"/>
  <c r="A1044" i="11"/>
  <c r="A1039" i="11"/>
  <c r="A1019" i="11"/>
  <c r="A986" i="11"/>
  <c r="A975" i="11"/>
  <c r="A1096" i="11"/>
  <c r="A1033" i="11"/>
  <c r="A997" i="11"/>
  <c r="A984" i="11"/>
  <c r="A886" i="11"/>
  <c r="A866" i="11"/>
  <c r="A875" i="11"/>
  <c r="A313" i="11"/>
  <c r="A863" i="11"/>
  <c r="A841" i="11"/>
  <c r="A850" i="11"/>
  <c r="A811" i="11"/>
  <c r="A829" i="11"/>
  <c r="A801" i="11"/>
  <c r="A819" i="11"/>
  <c r="A793" i="11"/>
  <c r="A782" i="11"/>
  <c r="A808" i="11"/>
  <c r="A678" i="11"/>
  <c r="A879" i="11"/>
  <c r="A479" i="11"/>
  <c r="A837" i="11"/>
  <c r="A833" i="11"/>
  <c r="A787" i="11"/>
  <c r="A386" i="11"/>
  <c r="A1045" i="11"/>
  <c r="A989" i="11"/>
  <c r="A1060" i="11"/>
  <c r="A675" i="11"/>
  <c r="A857" i="11"/>
  <c r="A859" i="11"/>
  <c r="A869" i="11"/>
  <c r="A539" i="11"/>
  <c r="A853" i="11"/>
  <c r="A832" i="11"/>
  <c r="A822" i="11"/>
  <c r="A835" i="11"/>
  <c r="A610" i="11"/>
  <c r="A606" i="11"/>
  <c r="A602" i="11"/>
  <c r="A598" i="11"/>
  <c r="A447" i="11"/>
  <c r="A443" i="11"/>
  <c r="A439" i="11"/>
  <c r="A470" i="11"/>
  <c r="A466" i="11"/>
  <c r="A462" i="11"/>
  <c r="A433" i="11"/>
  <c r="A429" i="11"/>
  <c r="A425" i="11"/>
  <c r="A416" i="11"/>
  <c r="A412" i="11"/>
  <c r="A404" i="11"/>
  <c r="A396" i="11"/>
  <c r="A378" i="11"/>
  <c r="A374" i="11"/>
  <c r="A608" i="11"/>
  <c r="A445" i="11"/>
  <c r="A468" i="11"/>
  <c r="A431" i="11"/>
  <c r="A422" i="11"/>
  <c r="A414" i="11"/>
  <c r="A406" i="11"/>
  <c r="A376" i="11"/>
  <c r="A15" i="11"/>
  <c r="A607" i="11"/>
  <c r="A595" i="11"/>
  <c r="A440" i="11"/>
  <c r="A467" i="11"/>
  <c r="A430" i="11"/>
  <c r="A405" i="11"/>
  <c r="A609" i="11"/>
  <c r="A605" i="11"/>
  <c r="A601" i="11"/>
  <c r="A597" i="11"/>
  <c r="A446" i="11"/>
  <c r="A442" i="11"/>
  <c r="A438" i="11"/>
  <c r="A469" i="11"/>
  <c r="A465" i="11"/>
  <c r="A432" i="11"/>
  <c r="A428" i="11"/>
  <c r="A424" i="11"/>
  <c r="A415" i="11"/>
  <c r="A407" i="11"/>
  <c r="A399" i="11"/>
  <c r="A395" i="11"/>
  <c r="A377" i="11"/>
  <c r="A612" i="11"/>
  <c r="A604" i="11"/>
  <c r="A600" i="11"/>
  <c r="A596" i="11"/>
  <c r="A441" i="11"/>
  <c r="A437" i="11"/>
  <c r="A464" i="11"/>
  <c r="A435" i="11"/>
  <c r="A427" i="11"/>
  <c r="A398" i="11"/>
  <c r="A380" i="11"/>
  <c r="A611" i="11"/>
  <c r="A603" i="11"/>
  <c r="A599" i="11"/>
  <c r="A444" i="11"/>
  <c r="A436" i="11"/>
  <c r="A463" i="11"/>
  <c r="A434" i="11"/>
  <c r="A426" i="11"/>
  <c r="A417" i="11"/>
  <c r="A413" i="11"/>
  <c r="A397" i="11"/>
  <c r="A379" i="11"/>
  <c r="A375" i="11"/>
  <c r="A14" i="11"/>
  <c r="A13" i="11"/>
  <c r="P24" i="6"/>
  <c r="O47" i="6"/>
  <c r="J47" i="6"/>
  <c r="F47" i="6"/>
  <c r="M4" i="6"/>
  <c r="M47" i="6" s="1"/>
  <c r="I4" i="6"/>
  <c r="I47" i="6" s="1"/>
  <c r="E4" i="6"/>
  <c r="E47" i="6" s="1"/>
  <c r="H4" i="6"/>
  <c r="H47" i="6" s="1"/>
  <c r="E396" i="11"/>
  <c r="H326" i="2"/>
  <c r="E395" i="11" s="1"/>
  <c r="D396" i="11"/>
  <c r="F326" i="2"/>
  <c r="D395" i="11" s="1"/>
  <c r="D326" i="2"/>
  <c r="C395" i="11" s="1"/>
  <c r="F396" i="11"/>
  <c r="J326" i="2"/>
  <c r="F395" i="11" s="1"/>
  <c r="D112" i="2"/>
  <c r="C90" i="11" s="1"/>
  <c r="D601" i="11"/>
  <c r="B505" i="2"/>
  <c r="B601" i="11" s="1"/>
  <c r="D608" i="11"/>
  <c r="B512" i="2"/>
  <c r="B608" i="11" s="1"/>
  <c r="D604" i="11"/>
  <c r="B508" i="2"/>
  <c r="B604" i="11" s="1"/>
  <c r="D597" i="11"/>
  <c r="B501" i="2"/>
  <c r="B597" i="11" s="1"/>
  <c r="J452" i="2"/>
  <c r="F563" i="11" s="1"/>
  <c r="F381" i="11"/>
  <c r="J307" i="2"/>
  <c r="J39" i="2"/>
  <c r="F27" i="11" s="1"/>
  <c r="D381" i="11"/>
  <c r="F307" i="2"/>
  <c r="F86" i="2"/>
  <c r="D64" i="11" s="1"/>
  <c r="D452" i="2"/>
  <c r="C563" i="11" s="1"/>
  <c r="B542" i="2"/>
  <c r="B635" i="11" s="1"/>
  <c r="B120" i="2"/>
  <c r="B98" i="11" s="1"/>
  <c r="C381" i="11"/>
  <c r="D307" i="2"/>
  <c r="H200" i="2"/>
  <c r="E164" i="11" s="1"/>
  <c r="B93" i="2"/>
  <c r="B71" i="11" s="1"/>
  <c r="J7" i="2"/>
  <c r="F5" i="11" s="1"/>
  <c r="J146" i="2"/>
  <c r="F117" i="11" s="1"/>
  <c r="B430" i="2"/>
  <c r="B501" i="11" s="1"/>
  <c r="C328" i="11"/>
  <c r="D39" i="2"/>
  <c r="C27" i="11" s="1"/>
  <c r="E542" i="11"/>
  <c r="J226" i="2"/>
  <c r="F274" i="11" s="1"/>
  <c r="F400" i="2"/>
  <c r="F22" i="2" s="1"/>
  <c r="D16" i="11" s="1"/>
  <c r="E158" i="11"/>
  <c r="E414" i="11"/>
  <c r="D119" i="2"/>
  <c r="C97" i="11" s="1"/>
  <c r="D635" i="11"/>
  <c r="D99" i="2"/>
  <c r="C77" i="11" s="1"/>
  <c r="E165" i="11"/>
  <c r="B367" i="2"/>
  <c r="B456" i="11" s="1"/>
  <c r="B191" i="2"/>
  <c r="B155" i="11" s="1"/>
  <c r="D424" i="2"/>
  <c r="D23" i="2" s="1"/>
  <c r="C17" i="11" s="1"/>
  <c r="D160" i="2"/>
  <c r="C131" i="11" s="1"/>
  <c r="B259" i="2"/>
  <c r="B306" i="11" s="1"/>
  <c r="E81" i="11"/>
  <c r="F370" i="2"/>
  <c r="F373" i="2" s="1"/>
  <c r="D461" i="11" s="1"/>
  <c r="E277" i="11"/>
  <c r="F158" i="11"/>
  <c r="D146" i="2"/>
  <c r="C117" i="11" s="1"/>
  <c r="J160" i="2"/>
  <c r="F131" i="11" s="1"/>
  <c r="B164" i="2"/>
  <c r="B135" i="11" s="1"/>
  <c r="B83" i="2"/>
  <c r="B61" i="11" s="1"/>
  <c r="D92" i="11"/>
  <c r="C396" i="11"/>
  <c r="B87" i="2"/>
  <c r="B65" i="11" s="1"/>
  <c r="H370" i="2"/>
  <c r="H20" i="2" s="1"/>
  <c r="E14" i="11" s="1"/>
  <c r="B60" i="2"/>
  <c r="B48" i="11" s="1"/>
  <c r="D317" i="11"/>
  <c r="B522" i="2"/>
  <c r="B615" i="11" s="1"/>
  <c r="J441" i="2"/>
  <c r="F539" i="11" s="1"/>
  <c r="F99" i="2"/>
  <c r="D77" i="11" s="1"/>
  <c r="F530" i="2"/>
  <c r="D623" i="11" s="1"/>
  <c r="F501" i="11"/>
  <c r="E151" i="11"/>
  <c r="F23" i="11"/>
  <c r="B156" i="2"/>
  <c r="B127" i="11" s="1"/>
  <c r="B468" i="2"/>
  <c r="B575" i="11" s="1"/>
  <c r="J495" i="2"/>
  <c r="I593" i="11" s="1"/>
  <c r="H86" i="2"/>
  <c r="E64" i="11" s="1"/>
  <c r="F521" i="2"/>
  <c r="D614" i="11" s="1"/>
  <c r="B128" i="2"/>
  <c r="B106" i="11" s="1"/>
  <c r="C414" i="11"/>
  <c r="J370" i="2"/>
  <c r="J373" i="2" s="1"/>
  <c r="F461" i="11" s="1"/>
  <c r="H424" i="2"/>
  <c r="E499" i="11" s="1"/>
  <c r="B435" i="2"/>
  <c r="B506" i="11" s="1"/>
  <c r="H119" i="2"/>
  <c r="E97" i="11" s="1"/>
  <c r="H160" i="2"/>
  <c r="E131" i="11" s="1"/>
  <c r="H459" i="2"/>
  <c r="E566" i="11" s="1"/>
  <c r="D127" i="11"/>
  <c r="B90" i="2"/>
  <c r="B68" i="11" s="1"/>
  <c r="B74" i="2"/>
  <c r="B56" i="11" s="1"/>
  <c r="D226" i="2"/>
  <c r="C274" i="11" s="1"/>
  <c r="D71" i="11"/>
  <c r="B448" i="2"/>
  <c r="B542" i="11" s="1"/>
  <c r="H441" i="2"/>
  <c r="E539" i="11" s="1"/>
  <c r="D400" i="2"/>
  <c r="D22" i="2" s="1"/>
  <c r="C16" i="11" s="1"/>
  <c r="H146" i="2"/>
  <c r="E117" i="11" s="1"/>
  <c r="B106" i="2"/>
  <c r="B84" i="11" s="1"/>
  <c r="B80" i="2"/>
  <c r="B58" i="11" s="1"/>
  <c r="J521" i="2"/>
  <c r="F614" i="11" s="1"/>
  <c r="A743" i="11"/>
  <c r="A44" i="11"/>
  <c r="A553" i="11"/>
  <c r="A958" i="11"/>
  <c r="A927" i="11"/>
  <c r="A640" i="11"/>
  <c r="A688" i="11"/>
  <c r="A234" i="11"/>
  <c r="A189" i="11"/>
  <c r="A647" i="11"/>
  <c r="A761" i="11"/>
  <c r="A99" i="11"/>
  <c r="A153" i="11"/>
  <c r="A277" i="11"/>
  <c r="A1013" i="11"/>
  <c r="A337" i="11"/>
  <c r="A960" i="11"/>
  <c r="A7" i="11"/>
  <c r="A305" i="11"/>
  <c r="A261" i="11"/>
  <c r="A365" i="11"/>
  <c r="A246" i="11"/>
  <c r="A534" i="11"/>
  <c r="A541" i="11"/>
  <c r="A714" i="11"/>
  <c r="A24" i="11"/>
  <c r="A1108" i="11"/>
  <c r="A517" i="11"/>
  <c r="A218" i="11"/>
  <c r="A82" i="11"/>
  <c r="A35" i="11"/>
  <c r="A628" i="11"/>
  <c r="A520" i="11"/>
  <c r="A284" i="11"/>
  <c r="A772" i="11"/>
  <c r="A763" i="11"/>
  <c r="A371" i="11"/>
  <c r="A780" i="11"/>
  <c r="A145" i="11"/>
  <c r="A511" i="11"/>
  <c r="A103" i="11"/>
  <c r="A928" i="11"/>
  <c r="A290" i="11"/>
  <c r="A667" i="11"/>
  <c r="A744" i="11"/>
  <c r="A194" i="11"/>
  <c r="A575" i="11"/>
  <c r="A919" i="11"/>
  <c r="A474" i="11"/>
  <c r="A649" i="11"/>
  <c r="A906" i="11"/>
  <c r="A48" i="11"/>
  <c r="A1014" i="11"/>
  <c r="A672" i="11"/>
  <c r="A617" i="11"/>
  <c r="A60" i="11"/>
  <c r="A28" i="11"/>
  <c r="A648" i="11"/>
  <c r="A19" i="11"/>
  <c r="A518" i="11"/>
  <c r="A297" i="11"/>
  <c r="A502" i="11"/>
  <c r="A587" i="11"/>
  <c r="A513" i="11"/>
  <c r="A217" i="11"/>
  <c r="A269" i="11"/>
  <c r="A333" i="11"/>
  <c r="A323" i="11"/>
  <c r="A752" i="11"/>
  <c r="A40" i="11"/>
  <c r="A659" i="11"/>
  <c r="A738" i="11"/>
  <c r="A285" i="11"/>
  <c r="A515" i="11"/>
  <c r="A532" i="11"/>
  <c r="A231" i="11"/>
  <c r="A108" i="11"/>
  <c r="A340" i="11"/>
  <c r="A706" i="11"/>
  <c r="A275" i="11"/>
  <c r="A578" i="11"/>
  <c r="A29" i="11"/>
  <c r="A327" i="11"/>
  <c r="A933" i="11"/>
  <c r="A311" i="11"/>
  <c r="A258" i="11"/>
  <c r="A573" i="11"/>
  <c r="A756" i="11"/>
  <c r="A229" i="11"/>
  <c r="A126" i="11"/>
  <c r="A724" i="11"/>
  <c r="A72" i="11"/>
  <c r="A5" i="11"/>
  <c r="A524" i="11"/>
  <c r="A306" i="11"/>
  <c r="A759" i="11"/>
  <c r="A331" i="11"/>
  <c r="A585" i="11"/>
  <c r="A369" i="11"/>
  <c r="A12" i="11"/>
  <c r="A295" i="11"/>
  <c r="A184" i="11"/>
  <c r="A735" i="11"/>
  <c r="A548" i="11"/>
  <c r="A624" i="11"/>
  <c r="A718" i="11"/>
  <c r="A905" i="11"/>
  <c r="A83" i="11"/>
  <c r="A289" i="11"/>
  <c r="A237" i="11"/>
  <c r="A193" i="11"/>
  <c r="A563" i="11"/>
  <c r="A324" i="11"/>
  <c r="A73" i="11"/>
  <c r="A687" i="11"/>
  <c r="A589" i="11"/>
  <c r="A187" i="11"/>
  <c r="A106" i="11"/>
  <c r="A281" i="11"/>
  <c r="A472" i="11"/>
  <c r="A907" i="11"/>
  <c r="A111" i="11"/>
  <c r="A346" i="11"/>
  <c r="A637" i="11"/>
  <c r="A779" i="11"/>
  <c r="A117" i="11"/>
  <c r="A896" i="11"/>
  <c r="A544" i="11"/>
  <c r="A245" i="11"/>
  <c r="A105" i="11"/>
  <c r="A547" i="11"/>
  <c r="A287" i="11"/>
  <c r="A122" i="11"/>
  <c r="A123" i="11"/>
  <c r="A954" i="11"/>
  <c r="A335" i="11"/>
  <c r="A79" i="11"/>
  <c r="A61" i="11"/>
  <c r="A179" i="11"/>
  <c r="A477" i="11"/>
  <c r="A49" i="11"/>
  <c r="A741" i="11"/>
  <c r="A47" i="11"/>
  <c r="A204" i="11"/>
  <c r="A693" i="11"/>
  <c r="A224" i="11"/>
  <c r="A225" i="11"/>
  <c r="A57" i="11"/>
  <c r="A631" i="11"/>
  <c r="A178" i="11"/>
  <c r="A657" i="11"/>
  <c r="A504" i="11"/>
  <c r="A352" i="11"/>
  <c r="A151" i="11"/>
  <c r="A264" i="11"/>
  <c r="A918" i="11"/>
  <c r="A202" i="11"/>
  <c r="A921" i="11"/>
  <c r="A749" i="11"/>
  <c r="A312" i="11"/>
  <c r="A148" i="11"/>
  <c r="A344" i="11"/>
  <c r="A91" i="11"/>
  <c r="A185" i="11"/>
  <c r="A686" i="11"/>
  <c r="A630" i="11"/>
  <c r="A328" i="11"/>
  <c r="A294" i="11"/>
  <c r="A238" i="11"/>
  <c r="A619" i="11"/>
  <c r="A71" i="11"/>
  <c r="A207" i="11"/>
  <c r="A100" i="11"/>
  <c r="A42" i="11"/>
  <c r="A771" i="11"/>
  <c r="A253" i="11"/>
  <c r="A932" i="11"/>
  <c r="A940" i="11"/>
  <c r="A85" i="11"/>
  <c r="A37" i="11"/>
  <c r="A570" i="11"/>
  <c r="A1102" i="11"/>
  <c r="A276" i="11"/>
  <c r="A211" i="11"/>
  <c r="A353" i="11"/>
  <c r="A593" i="11"/>
  <c r="A557" i="11"/>
  <c r="A109" i="11"/>
  <c r="A926" i="11"/>
  <c r="A700" i="11"/>
  <c r="A636" i="11"/>
  <c r="A923" i="11"/>
  <c r="A703" i="11"/>
  <c r="A212" i="11"/>
  <c r="A78" i="11"/>
  <c r="A646" i="11"/>
  <c r="A41" i="11"/>
  <c r="A125" i="11"/>
  <c r="A256" i="11"/>
  <c r="A1105" i="11"/>
  <c r="A508" i="11"/>
  <c r="A6" i="11"/>
  <c r="A642" i="11"/>
  <c r="A1107" i="11"/>
  <c r="A250" i="11"/>
  <c r="A767" i="11"/>
  <c r="A247" i="11"/>
  <c r="A944" i="11"/>
  <c r="A506" i="11"/>
  <c r="A140" i="11"/>
  <c r="A62" i="11"/>
  <c r="A555" i="11"/>
  <c r="A66" i="11"/>
  <c r="A476" i="11"/>
  <c r="A751" i="11"/>
  <c r="A322" i="11"/>
  <c r="A709" i="11"/>
  <c r="A182" i="11"/>
  <c r="A160" i="11"/>
  <c r="A334" i="11"/>
  <c r="A769" i="11"/>
  <c r="A161" i="11"/>
  <c r="A351" i="11"/>
  <c r="A241" i="11"/>
  <c r="A283" i="11"/>
  <c r="A216" i="11"/>
  <c r="A694" i="11"/>
  <c r="A336" i="11"/>
  <c r="A172" i="11"/>
  <c r="A101" i="11"/>
  <c r="A531" i="11"/>
  <c r="A113" i="11"/>
  <c r="A681" i="11"/>
  <c r="A620" i="11"/>
  <c r="A702" i="11"/>
  <c r="A263" i="11"/>
  <c r="A342" i="11"/>
  <c r="A112" i="11"/>
  <c r="A267" i="11"/>
  <c r="A583" i="11"/>
  <c r="A137" i="11"/>
  <c r="A633" i="11"/>
  <c r="A32" i="11"/>
  <c r="A25" i="11"/>
  <c r="A1011" i="11"/>
  <c r="A558" i="11"/>
  <c r="A70" i="11"/>
  <c r="A87" i="11"/>
  <c r="A249" i="11"/>
  <c r="A615" i="11"/>
  <c r="A691" i="11"/>
  <c r="A540" i="11"/>
  <c r="A75" i="11"/>
  <c r="A20" i="11"/>
  <c r="A644" i="11"/>
  <c r="A265" i="11"/>
  <c r="A362" i="11"/>
  <c r="A332" i="11"/>
  <c r="A689" i="11"/>
  <c r="A366" i="11"/>
  <c r="A937" i="11"/>
  <c r="A571" i="11"/>
  <c r="A55" i="11"/>
  <c r="A569" i="11"/>
  <c r="A924" i="11"/>
  <c r="A104" i="11"/>
  <c r="A716" i="11"/>
  <c r="A175" i="11"/>
  <c r="A271" i="11"/>
  <c r="A147" i="11"/>
  <c r="A141" i="11"/>
  <c r="A279" i="11"/>
  <c r="A758" i="11"/>
  <c r="A220" i="11"/>
  <c r="A96" i="11"/>
  <c r="A1010" i="11"/>
  <c r="A950" i="11"/>
  <c r="A949" i="11"/>
  <c r="A577" i="11"/>
  <c r="A676" i="11"/>
  <c r="A27" i="11"/>
  <c r="A201" i="11"/>
  <c r="A114" i="11"/>
  <c r="A360" i="11"/>
  <c r="A478" i="11"/>
  <c r="A235" i="11"/>
  <c r="A299" i="11"/>
  <c r="A732" i="11"/>
  <c r="A475" i="11"/>
  <c r="A574" i="11"/>
  <c r="A133" i="11"/>
  <c r="A11" i="11"/>
  <c r="A81" i="11"/>
  <c r="A550" i="11"/>
  <c r="A754" i="11"/>
  <c r="A268" i="11"/>
  <c r="A93" i="11"/>
  <c r="A129" i="11"/>
  <c r="A242" i="11"/>
  <c r="A165" i="11"/>
  <c r="A742" i="11"/>
  <c r="A725" i="11"/>
  <c r="A891" i="11"/>
  <c r="A18" i="11"/>
  <c r="A650" i="11"/>
  <c r="A656" i="11"/>
  <c r="A473" i="11"/>
  <c r="A904" i="11"/>
  <c r="A53" i="11"/>
  <c r="A120" i="11"/>
  <c r="A952" i="11"/>
  <c r="A259" i="11"/>
  <c r="A30" i="11"/>
  <c r="A149" i="11"/>
  <c r="A503" i="11"/>
  <c r="A775" i="11"/>
  <c r="A705" i="11"/>
  <c r="A643" i="11"/>
  <c r="A708" i="11"/>
  <c r="A8" i="11"/>
  <c r="A343" i="11"/>
  <c r="A321" i="11"/>
  <c r="A23" i="11"/>
  <c r="A17" i="11"/>
  <c r="A626" i="11"/>
  <c r="A65" i="11"/>
  <c r="A740" i="11"/>
  <c r="A22" i="11"/>
  <c r="A107" i="11"/>
  <c r="A755" i="11"/>
  <c r="A174" i="11"/>
  <c r="A501" i="11"/>
  <c r="A514" i="11"/>
  <c r="A938" i="11"/>
  <c r="A934" i="11"/>
  <c r="A1104" i="11"/>
  <c r="A704" i="11"/>
  <c r="A554" i="11"/>
  <c r="A168" i="11"/>
  <c r="A1006" i="11"/>
  <c r="A546" i="11"/>
  <c r="A529" i="11"/>
  <c r="A26" i="11"/>
  <c r="A526" i="11"/>
  <c r="A21" i="11"/>
  <c r="A197" i="11"/>
  <c r="A900" i="11"/>
  <c r="A893" i="11"/>
  <c r="A695" i="11"/>
  <c r="A684" i="11"/>
  <c r="A727" i="11"/>
  <c r="A638" i="11"/>
  <c r="A52" i="11"/>
  <c r="A945" i="11"/>
  <c r="A914" i="11"/>
  <c r="A356" i="11"/>
  <c r="A902" i="11"/>
  <c r="A319" i="11"/>
  <c r="A280" i="11"/>
  <c r="A348" i="11"/>
  <c r="A146" i="11"/>
  <c r="A195" i="11"/>
  <c r="A171" i="11"/>
  <c r="A915" i="11"/>
  <c r="A765" i="11"/>
  <c r="A572" i="11"/>
  <c r="A255" i="11"/>
  <c r="A136" i="11"/>
  <c r="A588" i="11"/>
  <c r="A946" i="11"/>
  <c r="A773" i="11"/>
  <c r="A894" i="11"/>
  <c r="A641" i="11"/>
  <c r="A1012" i="11"/>
  <c r="A661" i="11"/>
  <c r="A698" i="11"/>
  <c r="A228" i="11"/>
  <c r="A673" i="11"/>
  <c r="A45" i="11"/>
  <c r="A505" i="11"/>
  <c r="A215" i="11"/>
  <c r="A1101" i="11"/>
  <c r="A144" i="11"/>
  <c r="A920" i="11"/>
  <c r="A244" i="11"/>
  <c r="A154" i="11"/>
  <c r="A766" i="11"/>
  <c r="A309" i="11"/>
  <c r="A916" i="11"/>
  <c r="A670" i="11"/>
  <c r="A92" i="11"/>
  <c r="A190" i="11"/>
  <c r="A911" i="11"/>
  <c r="A942" i="11"/>
  <c r="A367" i="11"/>
  <c r="A163" i="11"/>
  <c r="A736" i="11"/>
  <c r="A186" i="11"/>
  <c r="A559" i="11"/>
  <c r="A314" i="11"/>
  <c r="A568" i="11"/>
  <c r="A9" i="11"/>
  <c r="A317" i="11"/>
  <c r="A1008" i="11"/>
  <c r="A898" i="11"/>
  <c r="A325" i="11"/>
  <c r="A34" i="11"/>
  <c r="A121" i="11"/>
  <c r="A162" i="11"/>
  <c r="A86" i="11"/>
  <c r="A157" i="11"/>
  <c r="A929" i="11"/>
  <c r="A115" i="11"/>
  <c r="A188" i="11"/>
  <c r="A564" i="11"/>
  <c r="A95" i="11"/>
  <c r="A674" i="11"/>
  <c r="A128" i="11"/>
  <c r="A961" i="11"/>
  <c r="A251" i="11"/>
  <c r="A1007" i="11"/>
  <c r="A213" i="11"/>
  <c r="A654" i="11"/>
  <c r="A196" i="11"/>
  <c r="A528" i="11"/>
  <c r="A345" i="11"/>
  <c r="A768" i="11"/>
  <c r="A33" i="11"/>
  <c r="A510" i="11"/>
  <c r="A717" i="11"/>
  <c r="A666" i="11"/>
  <c r="A677" i="11"/>
  <c r="A634" i="11"/>
  <c r="A338" i="11"/>
  <c r="A119" i="11"/>
  <c r="A726" i="11"/>
  <c r="A368" i="11"/>
  <c r="A130" i="11"/>
  <c r="A560" i="11"/>
  <c r="A54" i="11"/>
  <c r="A274" i="11"/>
  <c r="A692" i="11"/>
  <c r="A170" i="11"/>
  <c r="A110" i="11"/>
  <c r="A156" i="11"/>
  <c r="A580" i="11"/>
  <c r="A660" i="11"/>
  <c r="A222" i="11"/>
  <c r="A947" i="11"/>
  <c r="A635" i="11"/>
  <c r="A757" i="11"/>
  <c r="A629" i="11"/>
  <c r="A668" i="11"/>
  <c r="A227" i="11"/>
  <c r="A719" i="11"/>
  <c r="A715" i="11"/>
  <c r="A142" i="11"/>
  <c r="A1098" i="11"/>
  <c r="A252" i="11"/>
  <c r="A913" i="11"/>
  <c r="A339" i="11"/>
  <c r="A723" i="11"/>
  <c r="A43" i="11"/>
  <c r="A525" i="11"/>
  <c r="A748" i="11"/>
  <c r="A50" i="11"/>
  <c r="A899" i="11"/>
  <c r="A682" i="11"/>
  <c r="A354" i="11"/>
  <c r="A296" i="11"/>
  <c r="A191" i="11"/>
  <c r="A143" i="11"/>
  <c r="A764" i="11"/>
  <c r="A74" i="11"/>
  <c r="A131" i="11"/>
  <c r="A627" i="11"/>
  <c r="A164" i="11"/>
  <c r="A177" i="11"/>
  <c r="A138" i="11"/>
  <c r="A84" i="11"/>
  <c r="A565" i="11"/>
  <c r="A778" i="11"/>
  <c r="A240" i="11"/>
  <c r="A912" i="11"/>
  <c r="A310" i="11"/>
  <c r="A535" i="11"/>
  <c r="A97" i="11"/>
  <c r="A697" i="11"/>
  <c r="A355" i="11"/>
  <c r="A567" i="11"/>
  <c r="A301" i="11"/>
  <c r="A512" i="11"/>
  <c r="A948" i="11"/>
  <c r="A291" i="11"/>
  <c r="A662" i="11"/>
  <c r="A622" i="11"/>
  <c r="A248" i="11"/>
  <c r="A169" i="11"/>
  <c r="A733" i="11"/>
  <c r="A124" i="11"/>
  <c r="A731" i="11"/>
  <c r="A683" i="11"/>
  <c r="A1109" i="11"/>
  <c r="A616" i="11"/>
  <c r="A308" i="11"/>
  <c r="A64" i="11"/>
  <c r="A1103" i="11"/>
  <c r="A566" i="11"/>
  <c r="A509" i="11"/>
  <c r="A955" i="11"/>
  <c r="A286" i="11"/>
  <c r="A625" i="11"/>
  <c r="A36" i="11"/>
  <c r="A699" i="11"/>
  <c r="A941" i="11"/>
  <c r="A370" i="11"/>
  <c r="A132" i="11"/>
  <c r="A349" i="11"/>
  <c r="A260" i="11"/>
  <c r="A962" i="11"/>
  <c r="A58" i="11"/>
  <c r="A10" i="11"/>
  <c r="A219" i="11"/>
  <c r="A523" i="11"/>
  <c r="A710" i="11"/>
  <c r="A167" i="11"/>
  <c r="A734" i="11"/>
  <c r="A592" i="11"/>
  <c r="A935" i="11"/>
  <c r="A614" i="11"/>
  <c r="A579" i="11"/>
  <c r="A361" i="11"/>
  <c r="A582" i="11"/>
  <c r="A88" i="11"/>
  <c r="A364" i="11"/>
  <c r="A304" i="11"/>
  <c r="A363" i="11"/>
  <c r="A315" i="11"/>
  <c r="A316" i="11"/>
  <c r="A68" i="11"/>
  <c r="A209" i="11"/>
  <c r="A59" i="11"/>
  <c r="A51" i="11"/>
  <c r="A236" i="11"/>
  <c r="A750" i="11"/>
  <c r="A192" i="11"/>
  <c r="A173" i="11"/>
  <c r="A358" i="11"/>
  <c r="A152" i="11"/>
  <c r="A895" i="11"/>
  <c r="A67" i="11"/>
  <c r="A542" i="11"/>
  <c r="A897" i="11"/>
  <c r="A591" i="11"/>
  <c r="A953" i="11"/>
  <c r="A102" i="11"/>
  <c r="A931" i="11"/>
  <c r="A208" i="11"/>
  <c r="A690" i="11"/>
  <c r="A232" i="11"/>
  <c r="A350" i="11"/>
  <c r="A293" i="11"/>
  <c r="A696" i="11"/>
  <c r="A326" i="11"/>
  <c r="A711" i="11"/>
  <c r="A303" i="11"/>
  <c r="A1100" i="11"/>
  <c r="A500" i="11"/>
  <c r="A651" i="11"/>
  <c r="A159" i="11"/>
  <c r="A254" i="11"/>
  <c r="A292" i="11"/>
  <c r="A307" i="11"/>
  <c r="A551" i="11"/>
  <c r="A584" i="11"/>
  <c r="A903" i="11"/>
  <c r="A39" i="11"/>
  <c r="A69" i="11"/>
  <c r="A135" i="11"/>
  <c r="A576" i="11"/>
  <c r="A288" i="11"/>
  <c r="A89" i="11"/>
  <c r="A730" i="11"/>
  <c r="A561" i="11"/>
  <c r="A521" i="11"/>
  <c r="A669" i="11"/>
  <c r="A552" i="11"/>
  <c r="A957" i="11"/>
  <c r="A300" i="11"/>
  <c r="A223" i="11"/>
  <c r="A728" i="11"/>
  <c r="A936" i="11"/>
  <c r="A31" i="11"/>
  <c r="A90" i="11"/>
  <c r="A80" i="11"/>
  <c r="A770" i="11"/>
  <c r="A1106" i="11"/>
  <c r="A925" i="11"/>
  <c r="A158" i="11"/>
  <c r="A76" i="11"/>
  <c r="A701" i="11"/>
  <c r="A243" i="11"/>
  <c r="A270" i="11"/>
  <c r="A282" i="11"/>
  <c r="A155" i="11"/>
  <c r="A908" i="11"/>
  <c r="A347" i="11"/>
  <c r="A127" i="11"/>
  <c r="A233" i="11"/>
  <c r="A762" i="11"/>
  <c r="A909" i="11"/>
  <c r="A38" i="11"/>
  <c r="A98" i="11"/>
  <c r="A713" i="11"/>
  <c r="A77" i="11"/>
  <c r="A917" i="11"/>
  <c r="A533" i="11"/>
  <c r="A530" i="11"/>
  <c r="A536" i="11"/>
  <c r="A198" i="11"/>
  <c r="A298" i="11"/>
  <c r="A239" i="11"/>
  <c r="A712" i="11"/>
  <c r="A618" i="11"/>
  <c r="A183" i="11"/>
  <c r="A930" i="11"/>
  <c r="A176" i="11"/>
  <c r="A200" i="11"/>
  <c r="A1099" i="11"/>
  <c r="A745" i="11"/>
  <c r="A94" i="11"/>
  <c r="A943" i="11"/>
  <c r="A266" i="11"/>
  <c r="A556" i="11"/>
  <c r="A623" i="11"/>
  <c r="A939" i="11"/>
  <c r="A199" i="11"/>
  <c r="A527" i="11"/>
  <c r="A134" i="11"/>
  <c r="A959" i="11"/>
  <c r="A645" i="11"/>
  <c r="A739" i="11"/>
  <c r="A318" i="11"/>
  <c r="A278" i="11"/>
  <c r="A341" i="11"/>
  <c r="A519" i="11"/>
  <c r="A221" i="11"/>
  <c r="A545" i="11"/>
  <c r="A16" i="11"/>
  <c r="A206" i="11"/>
  <c r="A774" i="11"/>
  <c r="A737" i="11"/>
  <c r="A537" i="11"/>
  <c r="A257" i="11"/>
  <c r="A262" i="11"/>
  <c r="A621" i="11"/>
  <c r="A516" i="11"/>
  <c r="A118" i="11"/>
  <c r="A181" i="11"/>
  <c r="A180" i="11"/>
  <c r="A671" i="11"/>
  <c r="A63" i="11"/>
  <c r="A357" i="11"/>
  <c r="A685" i="11"/>
  <c r="A776" i="11"/>
  <c r="A139" i="11"/>
  <c r="A522" i="11"/>
  <c r="A777" i="11"/>
  <c r="A892" i="11"/>
  <c r="A214" i="11"/>
  <c r="A330" i="11"/>
  <c r="A632" i="11"/>
  <c r="A581" i="11"/>
  <c r="A722" i="11"/>
  <c r="A359" i="11"/>
  <c r="A302" i="11"/>
  <c r="A951" i="11"/>
  <c r="A956" i="11"/>
  <c r="A549" i="11"/>
  <c r="A230" i="11"/>
  <c r="A652" i="11"/>
  <c r="A658" i="11"/>
  <c r="A210" i="11"/>
  <c r="A226" i="11"/>
  <c r="F226" i="2"/>
  <c r="C37" i="8"/>
  <c r="C47" i="8" s="1"/>
  <c r="D542" i="11"/>
  <c r="B396" i="2"/>
  <c r="B475" i="11" s="1"/>
  <c r="L516" i="2"/>
  <c r="G612" i="11" s="1"/>
  <c r="C593" i="11"/>
  <c r="J490" i="2"/>
  <c r="E593" i="11" s="1"/>
  <c r="D43" i="11"/>
  <c r="D33" i="11"/>
  <c r="B55" i="2"/>
  <c r="B43" i="11" s="1"/>
  <c r="D370" i="2"/>
  <c r="D373" i="2" s="1"/>
  <c r="C461" i="11" s="1"/>
  <c r="B460" i="2"/>
  <c r="B567" i="11" s="1"/>
  <c r="F200" i="2"/>
  <c r="D164" i="11" s="1"/>
  <c r="C640" i="11"/>
  <c r="B246" i="2"/>
  <c r="B293" i="11" s="1"/>
  <c r="C475" i="11"/>
  <c r="C84" i="11"/>
  <c r="C56" i="11"/>
  <c r="F459" i="2"/>
  <c r="D566" i="11" s="1"/>
  <c r="B414" i="2"/>
  <c r="B489" i="11" s="1"/>
  <c r="D571" i="11"/>
  <c r="B464" i="2"/>
  <c r="B571" i="11" s="1"/>
  <c r="F567" i="11"/>
  <c r="J459" i="2"/>
  <c r="F566" i="11" s="1"/>
  <c r="D492" i="11"/>
  <c r="B417" i="2"/>
  <c r="B492" i="11" s="1"/>
  <c r="D489" i="11"/>
  <c r="F424" i="2"/>
  <c r="D499" i="11" s="1"/>
  <c r="D33" i="2"/>
  <c r="C23" i="11"/>
  <c r="B35" i="2"/>
  <c r="B23" i="11" s="1"/>
  <c r="F7" i="2"/>
  <c r="D5" i="11" s="1"/>
  <c r="D56" i="11"/>
  <c r="D521" i="2"/>
  <c r="C614" i="11" s="1"/>
  <c r="C619" i="11"/>
  <c r="F475" i="11"/>
  <c r="J400" i="2"/>
  <c r="E472" i="11"/>
  <c r="H400" i="2"/>
  <c r="H22" i="2" s="1"/>
  <c r="E16" i="11" s="1"/>
  <c r="C422" i="11"/>
  <c r="B353" i="2"/>
  <c r="B422" i="11" s="1"/>
  <c r="E381" i="11"/>
  <c r="B314" i="2"/>
  <c r="B381" i="11" s="1"/>
  <c r="C109" i="11"/>
  <c r="B131" i="2"/>
  <c r="B109" i="11" s="1"/>
  <c r="F648" i="11"/>
  <c r="J561" i="2"/>
  <c r="F652" i="11" s="1"/>
  <c r="D158" i="11"/>
  <c r="B194" i="2"/>
  <c r="B158" i="11" s="1"/>
  <c r="B109" i="2"/>
  <c r="B87" i="11" s="1"/>
  <c r="D277" i="11"/>
  <c r="D450" i="11"/>
  <c r="B361" i="2"/>
  <c r="B450" i="11" s="1"/>
  <c r="D281" i="2"/>
  <c r="C317" i="11"/>
  <c r="D81" i="11"/>
  <c r="B103" i="2"/>
  <c r="B81" i="11" s="1"/>
  <c r="D78" i="11"/>
  <c r="B100" i="2"/>
  <c r="B78" i="11" s="1"/>
  <c r="F39" i="2"/>
  <c r="D27" i="11" s="1"/>
  <c r="B557" i="2"/>
  <c r="B648" i="11" s="1"/>
  <c r="F452" i="2"/>
  <c r="D563" i="11" s="1"/>
  <c r="B408" i="2"/>
  <c r="B483" i="11" s="1"/>
  <c r="J516" i="2"/>
  <c r="F612" i="11" s="1"/>
  <c r="J424" i="2"/>
  <c r="J23" i="2" s="1"/>
  <c r="F17" i="11" s="1"/>
  <c r="B41" i="2"/>
  <c r="B29" i="11" s="1"/>
  <c r="B125" i="2"/>
  <c r="B103" i="11" s="1"/>
  <c r="F33" i="2"/>
  <c r="D21" i="11" s="1"/>
  <c r="B264" i="2"/>
  <c r="B310" i="11" s="1"/>
  <c r="D501" i="11"/>
  <c r="F441" i="2"/>
  <c r="F24" i="2" s="1"/>
  <c r="D18" i="11" s="1"/>
  <c r="D121" i="11"/>
  <c r="F146" i="2"/>
  <c r="F98" i="11"/>
  <c r="J119" i="2"/>
  <c r="F97" i="11" s="1"/>
  <c r="J99" i="2"/>
  <c r="F77" i="11" s="1"/>
  <c r="F81" i="11"/>
  <c r="J86" i="2"/>
  <c r="C35" i="11"/>
  <c r="C289" i="11"/>
  <c r="B242" i="2"/>
  <c r="B289" i="11" s="1"/>
  <c r="D459" i="2"/>
  <c r="C566" i="11" s="1"/>
  <c r="H521" i="2"/>
  <c r="E614" i="11" s="1"/>
  <c r="J200" i="2"/>
  <c r="F164" i="11" s="1"/>
  <c r="D200" i="2"/>
  <c r="C164" i="11" s="1"/>
  <c r="B178" i="2"/>
  <c r="B147" i="11" s="1"/>
  <c r="F160" i="2"/>
  <c r="D131" i="11" s="1"/>
  <c r="D441" i="2"/>
  <c r="D24" i="2" s="1"/>
  <c r="B539" i="2"/>
  <c r="B632" i="11" s="1"/>
  <c r="C15" i="9"/>
  <c r="D302" i="2"/>
  <c r="D13" i="2" s="1"/>
  <c r="C325" i="11"/>
  <c r="E274" i="11"/>
  <c r="H268" i="2"/>
  <c r="F516" i="2"/>
  <c r="F343" i="2"/>
  <c r="D412" i="11" s="1"/>
  <c r="D414" i="11"/>
  <c r="J290" i="2"/>
  <c r="F328" i="11"/>
  <c r="C652" i="11"/>
  <c r="E135" i="11"/>
  <c r="F12" i="2"/>
  <c r="D10" i="11" s="1"/>
  <c r="B229" i="2"/>
  <c r="B277" i="11" s="1"/>
  <c r="B534" i="2"/>
  <c r="B627" i="11" s="1"/>
  <c r="H516" i="2"/>
  <c r="E612" i="11" s="1"/>
  <c r="B293" i="2"/>
  <c r="B328" i="11" s="1"/>
  <c r="F204" i="11"/>
  <c r="B170" i="2"/>
  <c r="B141" i="11" s="1"/>
  <c r="B150" i="2"/>
  <c r="B121" i="11" s="1"/>
  <c r="E615" i="11"/>
  <c r="F561" i="2"/>
  <c r="D652" i="11" s="1"/>
  <c r="B208" i="2"/>
  <c r="B204" i="11" s="1"/>
  <c r="B250" i="2"/>
  <c r="B297" i="11" s="1"/>
  <c r="B201" i="2"/>
  <c r="B165" i="11" s="1"/>
  <c r="C501" i="11"/>
  <c r="F190" i="2"/>
  <c r="K38" i="5"/>
  <c r="P17" i="6"/>
  <c r="P6" i="6"/>
  <c r="C635" i="11"/>
  <c r="D530" i="2"/>
  <c r="C623" i="11" s="1"/>
  <c r="B137" i="2"/>
  <c r="B113" i="11" s="1"/>
  <c r="B187" i="2"/>
  <c r="B151" i="11" s="1"/>
  <c r="B345" i="2"/>
  <c r="B414" i="11" s="1"/>
  <c r="F21" i="11"/>
  <c r="C141" i="11"/>
  <c r="J530" i="2"/>
  <c r="F623" i="11" s="1"/>
  <c r="B47" i="2"/>
  <c r="B35" i="11" s="1"/>
  <c r="B526" i="2"/>
  <c r="B619" i="11" s="1"/>
  <c r="P28" i="6"/>
  <c r="E404" i="11"/>
  <c r="B335" i="2"/>
  <c r="B404" i="11" s="1"/>
  <c r="E317" i="11"/>
  <c r="H281" i="2"/>
  <c r="B277" i="2"/>
  <c r="B317" i="11" s="1"/>
  <c r="D98" i="11"/>
  <c r="F119" i="2"/>
  <c r="H112" i="2"/>
  <c r="E90" i="11" s="1"/>
  <c r="E92" i="11"/>
  <c r="B327" i="2"/>
  <c r="B396" i="11" s="1"/>
  <c r="F317" i="11"/>
  <c r="J281" i="2"/>
  <c r="K47" i="6"/>
  <c r="B476" i="2"/>
  <c r="B583" i="11" s="1"/>
  <c r="B549" i="2"/>
  <c r="B640" i="11" s="1"/>
  <c r="C161" i="11"/>
  <c r="B197" i="2"/>
  <c r="B161" i="11" s="1"/>
  <c r="D190" i="2"/>
  <c r="C154" i="11" s="1"/>
  <c r="P12" i="6"/>
  <c r="D4" i="6"/>
  <c r="D47" i="6" s="1"/>
  <c r="H33" i="2"/>
  <c r="E21" i="11" s="1"/>
  <c r="C18" i="9"/>
  <c r="C27" i="9" s="1"/>
  <c r="H561" i="2"/>
  <c r="E652" i="11" s="1"/>
  <c r="H290" i="2"/>
  <c r="G4" i="6"/>
  <c r="G47" i="6" s="1"/>
  <c r="B393" i="2"/>
  <c r="B472" i="11" s="1"/>
  <c r="B254" i="2"/>
  <c r="B301" i="11" s="1"/>
  <c r="B553" i="2"/>
  <c r="B644" i="11" s="1"/>
  <c r="E27" i="11"/>
  <c r="K42" i="5"/>
  <c r="F414" i="11"/>
  <c r="H530" i="2"/>
  <c r="L4" i="6"/>
  <c r="F92" i="11"/>
  <c r="D86" i="2"/>
  <c r="F290" i="2"/>
  <c r="D328" i="11"/>
  <c r="B114" i="2"/>
  <c r="B92" i="11" s="1"/>
  <c r="B96" i="2"/>
  <c r="B74" i="11" s="1"/>
  <c r="B1103" i="11"/>
  <c r="D356" i="2" l="1"/>
  <c r="D19" i="2" s="1"/>
  <c r="F374" i="11"/>
  <c r="J356" i="2"/>
  <c r="F356" i="2"/>
  <c r="D449" i="11" s="1"/>
  <c r="H356" i="2"/>
  <c r="H19" i="2" s="1"/>
  <c r="J24" i="2"/>
  <c r="F18" i="11" s="1"/>
  <c r="D612" i="11"/>
  <c r="B516" i="2"/>
  <c r="B612" i="11" s="1"/>
  <c r="J65" i="2"/>
  <c r="F52" i="11" s="1"/>
  <c r="H221" i="2"/>
  <c r="H10" i="2" s="1"/>
  <c r="E8" i="11" s="1"/>
  <c r="B326" i="2"/>
  <c r="B395" i="11" s="1"/>
  <c r="H373" i="2"/>
  <c r="E461" i="11" s="1"/>
  <c r="F499" i="11"/>
  <c r="F221" i="2"/>
  <c r="D273" i="11" s="1"/>
  <c r="J268" i="2"/>
  <c r="J11" i="2" s="1"/>
  <c r="F9" i="11" s="1"/>
  <c r="B452" i="2"/>
  <c r="B563" i="11" s="1"/>
  <c r="D479" i="11"/>
  <c r="C373" i="11"/>
  <c r="E459" i="11"/>
  <c r="B39" i="2"/>
  <c r="B27" i="11" s="1"/>
  <c r="C499" i="11"/>
  <c r="B226" i="2"/>
  <c r="B274" i="11" s="1"/>
  <c r="D268" i="2"/>
  <c r="C313" i="11" s="1"/>
  <c r="C479" i="11"/>
  <c r="D176" i="2"/>
  <c r="C146" i="11" s="1"/>
  <c r="D459" i="11"/>
  <c r="F20" i="2"/>
  <c r="D14" i="11" s="1"/>
  <c r="F23" i="2"/>
  <c r="D17" i="11" s="1"/>
  <c r="E374" i="11"/>
  <c r="D374" i="11"/>
  <c r="F459" i="11"/>
  <c r="J176" i="2"/>
  <c r="J182" i="2" s="1"/>
  <c r="F150" i="11" s="1"/>
  <c r="J20" i="2"/>
  <c r="F14" i="11" s="1"/>
  <c r="B190" i="2"/>
  <c r="B154" i="11" s="1"/>
  <c r="B160" i="2"/>
  <c r="B131" i="11" s="1"/>
  <c r="H24" i="2"/>
  <c r="E18" i="11" s="1"/>
  <c r="C459" i="11"/>
  <c r="B424" i="2"/>
  <c r="B499" i="11" s="1"/>
  <c r="B7" i="2"/>
  <c r="B5" i="11" s="1"/>
  <c r="B521" i="2"/>
  <c r="B614" i="11" s="1"/>
  <c r="E479" i="11"/>
  <c r="H23" i="2"/>
  <c r="E17" i="11" s="1"/>
  <c r="D154" i="11"/>
  <c r="B99" i="2"/>
  <c r="B77" i="11" s="1"/>
  <c r="H176" i="2"/>
  <c r="H182" i="2" s="1"/>
  <c r="B370" i="2"/>
  <c r="B459" i="11" s="1"/>
  <c r="F176" i="2"/>
  <c r="D146" i="11" s="1"/>
  <c r="C18" i="11"/>
  <c r="B441" i="2"/>
  <c r="B539" i="11" s="1"/>
  <c r="B146" i="2"/>
  <c r="B117" i="11" s="1"/>
  <c r="B200" i="2"/>
  <c r="B164" i="11" s="1"/>
  <c r="D539" i="11"/>
  <c r="B45" i="2"/>
  <c r="B33" i="11" s="1"/>
  <c r="B459" i="2"/>
  <c r="B566" i="11" s="1"/>
  <c r="C539" i="11"/>
  <c r="F268" i="2"/>
  <c r="D274" i="11"/>
  <c r="D12" i="2"/>
  <c r="C10" i="11" s="1"/>
  <c r="C320" i="11"/>
  <c r="B307" i="2"/>
  <c r="B374" i="11" s="1"/>
  <c r="C374" i="11"/>
  <c r="F479" i="11"/>
  <c r="J22" i="2"/>
  <c r="D117" i="11"/>
  <c r="B561" i="2"/>
  <c r="B652" i="11" s="1"/>
  <c r="C21" i="11"/>
  <c r="D65" i="2"/>
  <c r="C52" i="11" s="1"/>
  <c r="D20" i="2"/>
  <c r="C24" i="8"/>
  <c r="C33" i="8" s="1"/>
  <c r="C49" i="8" s="1"/>
  <c r="C53" i="8" s="1"/>
  <c r="B281" i="2"/>
  <c r="B320" i="11" s="1"/>
  <c r="H135" i="2"/>
  <c r="H141" i="2" s="1"/>
  <c r="J221" i="2"/>
  <c r="F273" i="11" s="1"/>
  <c r="F64" i="11"/>
  <c r="J135" i="2"/>
  <c r="F65" i="2"/>
  <c r="D52" i="11" s="1"/>
  <c r="B400" i="2"/>
  <c r="B479" i="11" s="1"/>
  <c r="C31" i="9"/>
  <c r="C33" i="9" s="1"/>
  <c r="C37" i="9" s="1"/>
  <c r="J12" i="2"/>
  <c r="F10" i="11" s="1"/>
  <c r="F320" i="11"/>
  <c r="H65" i="2"/>
  <c r="B112" i="2"/>
  <c r="B90" i="11" s="1"/>
  <c r="H302" i="2"/>
  <c r="E325" i="11"/>
  <c r="B33" i="2"/>
  <c r="B21" i="11" s="1"/>
  <c r="J302" i="2"/>
  <c r="F325" i="11"/>
  <c r="D97" i="11"/>
  <c r="B119" i="2"/>
  <c r="B97" i="11" s="1"/>
  <c r="F135" i="2"/>
  <c r="B343" i="2"/>
  <c r="B412" i="11" s="1"/>
  <c r="E320" i="11"/>
  <c r="H12" i="2"/>
  <c r="D221" i="2"/>
  <c r="E313" i="11"/>
  <c r="H11" i="2"/>
  <c r="F302" i="2"/>
  <c r="D325" i="11"/>
  <c r="C11" i="11"/>
  <c r="E623" i="11"/>
  <c r="B530" i="2"/>
  <c r="B623" i="11" s="1"/>
  <c r="B290" i="2"/>
  <c r="B325" i="11" s="1"/>
  <c r="P4" i="6"/>
  <c r="L47" i="6"/>
  <c r="P47" i="6" s="1"/>
  <c r="D135" i="2"/>
  <c r="B86" i="2"/>
  <c r="B64" i="11" s="1"/>
  <c r="C64" i="11"/>
  <c r="F313" i="11" l="1"/>
  <c r="E449" i="11"/>
  <c r="F10" i="2"/>
  <c r="D8" i="11" s="1"/>
  <c r="E273" i="11"/>
  <c r="B373" i="2"/>
  <c r="B461" i="11" s="1"/>
  <c r="C449" i="11"/>
  <c r="D11" i="2"/>
  <c r="C9" i="11" s="1"/>
  <c r="B268" i="2"/>
  <c r="B313" i="11" s="1"/>
  <c r="B20" i="2"/>
  <c r="B14" i="11" s="1"/>
  <c r="D182" i="2"/>
  <c r="C150" i="11" s="1"/>
  <c r="J9" i="2"/>
  <c r="F7" i="11" s="1"/>
  <c r="F19" i="2"/>
  <c r="D13" i="11" s="1"/>
  <c r="B24" i="2"/>
  <c r="B18" i="11" s="1"/>
  <c r="B176" i="2"/>
  <c r="B146" i="11" s="1"/>
  <c r="F146" i="11"/>
  <c r="E146" i="11"/>
  <c r="F182" i="2"/>
  <c r="F9" i="2" s="1"/>
  <c r="D9" i="2"/>
  <c r="C7" i="11" s="1"/>
  <c r="B23" i="2"/>
  <c r="B17" i="11" s="1"/>
  <c r="J10" i="2"/>
  <c r="F8" i="11" s="1"/>
  <c r="J19" i="2"/>
  <c r="F13" i="11" s="1"/>
  <c r="F449" i="11"/>
  <c r="B356" i="2"/>
  <c r="B449" i="11" s="1"/>
  <c r="J141" i="2"/>
  <c r="F112" i="11"/>
  <c r="C14" i="11"/>
  <c r="E112" i="11"/>
  <c r="F11" i="2"/>
  <c r="D9" i="11" s="1"/>
  <c r="D313" i="11"/>
  <c r="F16" i="11"/>
  <c r="B22" i="2"/>
  <c r="B16" i="11" s="1"/>
  <c r="C273" i="11"/>
  <c r="D10" i="2"/>
  <c r="B221" i="2"/>
  <c r="B273" i="11" s="1"/>
  <c r="B12" i="2"/>
  <c r="B10" i="11" s="1"/>
  <c r="E10" i="11"/>
  <c r="F141" i="2"/>
  <c r="D112" i="11"/>
  <c r="F373" i="11"/>
  <c r="J13" i="2"/>
  <c r="E52" i="11"/>
  <c r="B65" i="2"/>
  <c r="B52" i="11" s="1"/>
  <c r="E9" i="11"/>
  <c r="E373" i="11"/>
  <c r="H13" i="2"/>
  <c r="E11" i="11" s="1"/>
  <c r="E150" i="11"/>
  <c r="H9" i="2"/>
  <c r="E7" i="11" s="1"/>
  <c r="E116" i="11"/>
  <c r="H8" i="2"/>
  <c r="C13" i="11"/>
  <c r="D141" i="2"/>
  <c r="C112" i="11"/>
  <c r="B135" i="2"/>
  <c r="B112" i="11" s="1"/>
  <c r="E13" i="11"/>
  <c r="D373" i="11"/>
  <c r="F13" i="2"/>
  <c r="B302" i="2"/>
  <c r="B373" i="11" s="1"/>
  <c r="B182" i="2" l="1"/>
  <c r="B150" i="11" s="1"/>
  <c r="D150" i="11"/>
  <c r="B19" i="2"/>
  <c r="B13" i="11" s="1"/>
  <c r="B11" i="2"/>
  <c r="B9" i="11" s="1"/>
  <c r="F116" i="11"/>
  <c r="J8" i="2"/>
  <c r="F6" i="11" s="1"/>
  <c r="F8" i="2"/>
  <c r="D6" i="11" s="1"/>
  <c r="D116" i="11"/>
  <c r="F11" i="11"/>
  <c r="H14" i="2"/>
  <c r="E12" i="11" s="1"/>
  <c r="E6" i="11"/>
  <c r="C8" i="11"/>
  <c r="B10" i="2"/>
  <c r="B8" i="11" s="1"/>
  <c r="D7" i="11"/>
  <c r="B9" i="2"/>
  <c r="B7" i="11" s="1"/>
  <c r="D11" i="11"/>
  <c r="B13" i="2"/>
  <c r="B11" i="11" s="1"/>
  <c r="C116" i="11"/>
  <c r="B141" i="2"/>
  <c r="B116" i="11" s="1"/>
  <c r="D8" i="2"/>
  <c r="J14" i="2" l="1"/>
  <c r="F12" i="11" s="1"/>
  <c r="F14" i="2"/>
  <c r="D12" i="11" s="1"/>
  <c r="C6" i="11"/>
  <c r="D14" i="2"/>
  <c r="B8" i="2"/>
  <c r="B6" i="11" s="1"/>
  <c r="C12" i="11" l="1"/>
  <c r="B14" i="2"/>
  <c r="B12" i="11" s="1"/>
  <c r="D21" i="2" l="1"/>
  <c r="C15" i="11" s="1"/>
  <c r="D25" i="2" l="1"/>
  <c r="C19" i="11" l="1"/>
  <c r="D28" i="2"/>
  <c r="C20" i="11" l="1"/>
  <c r="F21" i="2"/>
  <c r="F25" i="2" l="1"/>
  <c r="D15" i="11"/>
  <c r="D19" i="11"/>
  <c r="F28" i="2"/>
  <c r="D20" i="11" s="1"/>
  <c r="H21" i="2"/>
  <c r="E15" i="11" s="1"/>
  <c r="H25" i="2"/>
  <c r="E19" i="11" l="1"/>
  <c r="H28" i="2"/>
  <c r="E20" i="11" l="1"/>
  <c r="B388" i="2"/>
  <c r="B471" i="11" s="1"/>
  <c r="J21" i="2" l="1"/>
  <c r="F15" i="11" s="1"/>
  <c r="B21" i="2" l="1"/>
  <c r="B15" i="11" s="1"/>
  <c r="J25" i="2"/>
  <c r="B25" i="2" l="1"/>
  <c r="B19" i="11" s="1"/>
  <c r="F19" i="11"/>
  <c r="J28" i="2"/>
  <c r="B28" i="2" l="1"/>
  <c r="B20" i="11" s="1"/>
  <c r="F20" i="11"/>
  <c r="B1057" i="11"/>
  <c r="C1060" i="11"/>
  <c r="E424" i="17"/>
  <c r="E33" i="17" s="1"/>
  <c r="C679" i="11" l="1"/>
  <c r="E36" i="17"/>
  <c r="C1069" i="11"/>
  <c r="C681" i="11" l="1"/>
  <c r="E38" i="17"/>
  <c r="C682" i="11" l="1"/>
  <c r="E40" i="17"/>
  <c r="E43" i="17" l="1"/>
  <c r="C684" i="11"/>
  <c r="C687" i="11" l="1"/>
  <c r="E45" i="17"/>
  <c r="C689" i="11" l="1"/>
  <c r="E47" i="17"/>
  <c r="C691" i="11" l="1"/>
  <c r="D1060" i="11"/>
  <c r="C412" i="17"/>
  <c r="B1060" i="11" s="1"/>
  <c r="G424" i="17"/>
  <c r="G33" i="17" s="1"/>
  <c r="C424" i="17" l="1"/>
  <c r="B1069" i="11" s="1"/>
  <c r="C33" i="17"/>
  <c r="B679" i="11" s="1"/>
  <c r="G36" i="17"/>
  <c r="D679" i="11"/>
  <c r="D1069" i="11"/>
  <c r="D681" i="11" l="1"/>
  <c r="G38" i="17"/>
  <c r="C36" i="17"/>
  <c r="B681" i="11" s="1"/>
  <c r="G40" i="17" l="1"/>
  <c r="C38" i="17"/>
  <c r="B682" i="11" s="1"/>
  <c r="D682" i="11"/>
  <c r="D684" i="11" l="1"/>
  <c r="G43" i="17"/>
  <c r="C40" i="17"/>
  <c r="B684" i="11" s="1"/>
  <c r="G45" i="17" l="1"/>
  <c r="D687" i="11"/>
  <c r="C43" i="17"/>
  <c r="B687" i="11" s="1"/>
  <c r="D689" i="11" l="1"/>
  <c r="C45" i="17"/>
  <c r="B689" i="11" s="1"/>
  <c r="G47" i="17"/>
  <c r="D691" i="11" l="1"/>
  <c r="C47" i="17"/>
  <c r="B691" i="11" s="1"/>
</calcChain>
</file>

<file path=xl/sharedStrings.xml><?xml version="1.0" encoding="utf-8"?>
<sst xmlns="http://schemas.openxmlformats.org/spreadsheetml/2006/main" count="1800" uniqueCount="1247">
  <si>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</si>
  <si>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</si>
  <si>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</si>
  <si>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</si>
  <si>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</si>
  <si>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</si>
  <si>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</si>
  <si>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</si>
  <si>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BALANCE SHEET</t>
  </si>
  <si>
    <t>TOTAL</t>
  </si>
  <si>
    <t>RESIDENT</t>
  </si>
  <si>
    <t>NON-RESIDENT</t>
  </si>
  <si>
    <t>1.   ASSETS</t>
  </si>
  <si>
    <t>TT$             Denominated</t>
  </si>
  <si>
    <t>1102 Cash Deposits at Central Bank</t>
  </si>
  <si>
    <t xml:space="preserve">     14030208 Consumers (specify)</t>
  </si>
  <si>
    <t>810501 Loans to Spouses/Family of Directors, Officers &amp; Snr Mgmt</t>
  </si>
  <si>
    <t>Foreign Currency                       (TT$ Equivalent)</t>
  </si>
  <si>
    <t>11  LIQUID FUNDS</t>
  </si>
  <si>
    <t>13  INVESTMENTS (net)</t>
  </si>
  <si>
    <t>14  NET LOANS</t>
  </si>
  <si>
    <t>16  EQUITY IN SUBSIDIARIES &amp; AFFILIATES</t>
  </si>
  <si>
    <t>17  ACCOUNTS RECEIVABLE</t>
  </si>
  <si>
    <t>18  FIXED ASSETS</t>
  </si>
  <si>
    <t xml:space="preserve"> TOTAL ASSETS (A)</t>
  </si>
  <si>
    <t xml:space="preserve">  </t>
  </si>
  <si>
    <t>2.  LIABILITIES</t>
  </si>
  <si>
    <t>24  BORROWINGS</t>
  </si>
  <si>
    <t>27  LONG-TERM LIABILITIES</t>
  </si>
  <si>
    <t xml:space="preserve"> TOTAL LIABILITIES (B)</t>
  </si>
  <si>
    <t>NET ASSETS (A-B)</t>
  </si>
  <si>
    <t xml:space="preserve"> 3. CAPITAL ACCOUNTS</t>
  </si>
  <si>
    <t>TT $ Denominated</t>
  </si>
  <si>
    <t>Foreign Currency (TT$ Equivalent)</t>
  </si>
  <si>
    <t>31. PAID-IN CAPITAL</t>
  </si>
  <si>
    <t>3101 Ordinary Shares</t>
  </si>
  <si>
    <t>3102 Preference Shares</t>
  </si>
  <si>
    <t xml:space="preserve">      310201 Perpetual Non-Cumulative</t>
  </si>
  <si>
    <t xml:space="preserve">      310202 Perpetual Cumulative</t>
  </si>
  <si>
    <t xml:space="preserve">      310203 Limited Life Redeemable</t>
  </si>
  <si>
    <t>3201 Ordinary Shares</t>
  </si>
  <si>
    <t>3202 Preference Shares</t>
  </si>
  <si>
    <t xml:space="preserve">      320201 Perpetual Non-Cumulative</t>
  </si>
  <si>
    <t xml:space="preserve">      320202 Perpetual Cumulative</t>
  </si>
  <si>
    <t xml:space="preserve">      320203 Limited Life Redeemable</t>
  </si>
  <si>
    <t>33. RESERVES</t>
  </si>
  <si>
    <t>xxxxxxxxxxxxxx</t>
  </si>
  <si>
    <t>3301 Statutory Reserves</t>
  </si>
  <si>
    <t>3302 Capital Reserves</t>
  </si>
  <si>
    <t xml:space="preserve">    330201 Asset Revaluation Reserves</t>
  </si>
  <si>
    <t xml:space="preserve">    330202 Other </t>
  </si>
  <si>
    <t xml:space="preserve">    330203 Hedging reserve</t>
  </si>
  <si>
    <t xml:space="preserve">    330204 Revaluation reserve - available for sale investments</t>
  </si>
  <si>
    <t xml:space="preserve">    330205 Currency Translation Reserve</t>
  </si>
  <si>
    <t xml:space="preserve">    330206 Convertible bond</t>
  </si>
  <si>
    <t xml:space="preserve">    330207 Equity Component of DPF </t>
  </si>
  <si>
    <t>3303 General Reserves</t>
  </si>
  <si>
    <t xml:space="preserve">     330301 Losses on Assets</t>
  </si>
  <si>
    <t xml:space="preserve">     330302 Other </t>
  </si>
  <si>
    <t>34. SUBORDINATED TERM DEBT</t>
  </si>
  <si>
    <t>35. RETAINED EARNINGS</t>
  </si>
  <si>
    <t>3501 Brought Forward - Previous Fiscal</t>
  </si>
  <si>
    <t>3502 Current Period Audited Profits/(Losses)</t>
  </si>
  <si>
    <t>3503 Current Period Unaudited Profits/(Losses)</t>
  </si>
  <si>
    <t xml:space="preserve">3. TOTAL </t>
  </si>
  <si>
    <t>11.  LIQUID FUNDS</t>
  </si>
  <si>
    <t>1101 Cash (on hand)</t>
  </si>
  <si>
    <t>1103 Due from banks (Cash at Bank)</t>
  </si>
  <si>
    <t xml:space="preserve">11. TOTAL </t>
  </si>
  <si>
    <t>13.  INVESTMENTS</t>
  </si>
  <si>
    <t>1301 Treasury Bills</t>
  </si>
  <si>
    <t>1302 Central Government Securities</t>
  </si>
  <si>
    <t xml:space="preserve">   130201 Marketable</t>
  </si>
  <si>
    <t xml:space="preserve">   130202 Non Marketable</t>
  </si>
  <si>
    <t>1303 Local Gov't Securities</t>
  </si>
  <si>
    <t xml:space="preserve">   130301 Marketable</t>
  </si>
  <si>
    <t xml:space="preserve">   130302 Non Marketable</t>
  </si>
  <si>
    <t>1304 Other Government Bodies' Securities</t>
  </si>
  <si>
    <t xml:space="preserve">   130401 State-Owned Non-Financial Institutions</t>
  </si>
  <si>
    <t xml:space="preserve">      13040101 Marketable</t>
  </si>
  <si>
    <t xml:space="preserve">      13040102 Non Marketable</t>
  </si>
  <si>
    <t xml:space="preserve">   130402 Public Utilities</t>
  </si>
  <si>
    <t xml:space="preserve">    13040201 Marketable</t>
  </si>
  <si>
    <t xml:space="preserve">    13040202 Non Marketable</t>
  </si>
  <si>
    <t xml:space="preserve">   130403 Statutory Boards</t>
  </si>
  <si>
    <t xml:space="preserve">    13040301 Marketable</t>
  </si>
  <si>
    <t xml:space="preserve">    13040302 Non Marketable</t>
  </si>
  <si>
    <t xml:space="preserve">1305 State-Owned Other Financial Inst. Securities </t>
  </si>
  <si>
    <t xml:space="preserve">    130501 Marketable</t>
  </si>
  <si>
    <t xml:space="preserve">    130502 Non Marketable</t>
  </si>
  <si>
    <t>1306 Privately Owned Other Financial Inst. Securities</t>
  </si>
  <si>
    <t>130601 Licensed</t>
  </si>
  <si>
    <t>xxxxxxxxxxxxx</t>
  </si>
  <si>
    <t xml:space="preserve">    13060101 Marketable</t>
  </si>
  <si>
    <t xml:space="preserve">    13060102 Non Marketable</t>
  </si>
  <si>
    <t>130602 Non Licensed</t>
  </si>
  <si>
    <t xml:space="preserve">    13060201 Marketable</t>
  </si>
  <si>
    <t xml:space="preserve">    13060202 Non Marketable</t>
  </si>
  <si>
    <t>1307 Privately Owned Non-Financial Institution Securities</t>
  </si>
  <si>
    <t xml:space="preserve">   130701 Marketable</t>
  </si>
  <si>
    <t xml:space="preserve">   130702 Non Marketable</t>
  </si>
  <si>
    <t>1308 Time Deposits</t>
  </si>
  <si>
    <t xml:space="preserve">   130801 Commercial Banks</t>
  </si>
  <si>
    <t xml:space="preserve">   130802 Other Financial Institutions</t>
  </si>
  <si>
    <t>1309 Quoted Stocks/Shares</t>
  </si>
  <si>
    <t xml:space="preserve">   130901 Commercial Banks</t>
  </si>
  <si>
    <t xml:space="preserve">   130902 Privately Owned Other Financial Institutions</t>
  </si>
  <si>
    <t xml:space="preserve">     13090201 Licensed</t>
  </si>
  <si>
    <t xml:space="preserve">     13090202 Non-Licensed  </t>
  </si>
  <si>
    <t xml:space="preserve">   130903 Private Non Financial Institutions  </t>
  </si>
  <si>
    <t>1310 Unlisted Stocks and Shares</t>
  </si>
  <si>
    <t>1311 Investment Not Else Classified</t>
  </si>
  <si>
    <t xml:space="preserve">   131101 Mutual Funds</t>
  </si>
  <si>
    <t xml:space="preserve">     13110101 The Unit Trust Corporation </t>
  </si>
  <si>
    <t xml:space="preserve">     13110102 Commercial Banks</t>
  </si>
  <si>
    <t xml:space="preserve">     13110103 Licensed Non Bank</t>
  </si>
  <si>
    <t xml:space="preserve">     13110104 Non Licensed Non Bank </t>
  </si>
  <si>
    <t xml:space="preserve">   131102 Not Else Classified</t>
  </si>
  <si>
    <t xml:space="preserve">     13110201 Marketable</t>
  </si>
  <si>
    <t xml:space="preserve">     13110202 Non Marketable</t>
  </si>
  <si>
    <t xml:space="preserve">   131103 Asset Backed Securities</t>
  </si>
  <si>
    <t xml:space="preserve">     13110301 Marketable</t>
  </si>
  <si>
    <t xml:space="preserve">     13110302 Non Marketable</t>
  </si>
  <si>
    <t xml:space="preserve">   131104 Investment Properties</t>
  </si>
  <si>
    <t xml:space="preserve">     13110401 Marketable</t>
  </si>
  <si>
    <t xml:space="preserve">     13110402 Non Marketable</t>
  </si>
  <si>
    <t xml:space="preserve"> TOTAL INVESTMENTS (SUM 1301-1311)</t>
  </si>
  <si>
    <t xml:space="preserve"> LESS</t>
  </si>
  <si>
    <t>1312 Provision for Security Losses</t>
  </si>
  <si>
    <t xml:space="preserve">   131201 General Provision</t>
  </si>
  <si>
    <t xml:space="preserve">   131202 Specific Provision</t>
  </si>
  <si>
    <t>13.   TOTAL INVESTMENTS (NET)</t>
  </si>
  <si>
    <t xml:space="preserve"> 14.  NET LOANS</t>
  </si>
  <si>
    <t>TT $  Denominated</t>
  </si>
  <si>
    <t>TT $  Dominated</t>
  </si>
  <si>
    <t>Foreign Currency  (TT$ Equivalent)</t>
  </si>
  <si>
    <t xml:space="preserve">  40809    Other</t>
  </si>
  <si>
    <t xml:space="preserve">  4080101    Investment Properties</t>
  </si>
  <si>
    <t xml:space="preserve">  4080102    Equity Securities</t>
  </si>
  <si>
    <t xml:space="preserve">  4080103    Debt Securities</t>
  </si>
  <si>
    <t xml:space="preserve">  4080109    Other</t>
  </si>
  <si>
    <t>140302 Real Estate Mortgages</t>
  </si>
  <si>
    <t xml:space="preserve">    14030201 Central Government</t>
  </si>
  <si>
    <t xml:space="preserve">    14030202 Local Government</t>
  </si>
  <si>
    <t xml:space="preserve">    14030203 State-Owned Financial Institutions</t>
  </si>
  <si>
    <t xml:space="preserve">    14030204 Other Government Bodies</t>
  </si>
  <si>
    <t xml:space="preserve">        1403020401 State-Owned Non-Financial Institutions</t>
  </si>
  <si>
    <t xml:space="preserve">        1403020402 Public Utilities</t>
  </si>
  <si>
    <t xml:space="preserve">        1403020403 Statutory Boards</t>
  </si>
  <si>
    <t xml:space="preserve">     14030205 Commercial Banks</t>
  </si>
  <si>
    <t xml:space="preserve">     14030206 Privately Owned Other Financial Institutions</t>
  </si>
  <si>
    <t xml:space="preserve">     14030207 Private Non Financial Institutions </t>
  </si>
  <si>
    <t xml:space="preserve">         1403020701 Incorporated Enterprises</t>
  </si>
  <si>
    <t xml:space="preserve">         1403020702 Unincorporated Enterprises</t>
  </si>
  <si>
    <t xml:space="preserve">1405 Other Loans </t>
  </si>
  <si>
    <t xml:space="preserve">    140501 Central Government</t>
  </si>
  <si>
    <t xml:space="preserve">    140502 Local Government</t>
  </si>
  <si>
    <t xml:space="preserve">    140503 State-Owned Financial Institutions</t>
  </si>
  <si>
    <t xml:space="preserve">    140504 Other Government Bodies</t>
  </si>
  <si>
    <t xml:space="preserve">        14050401 State-Owned Non-Financial Institutions</t>
  </si>
  <si>
    <t xml:space="preserve">        14050402 Public Utilities</t>
  </si>
  <si>
    <t xml:space="preserve">        14050403 Statutory Boards</t>
  </si>
  <si>
    <t xml:space="preserve">     140505 Commercial Banks</t>
  </si>
  <si>
    <t xml:space="preserve">     140506 Privately Owned Other Financial Institutions</t>
  </si>
  <si>
    <t xml:space="preserve">     140507 Private Non Financial Institutions </t>
  </si>
  <si>
    <t xml:space="preserve">         14050701 Incorporated Enterprises</t>
  </si>
  <si>
    <t xml:space="preserve">         14050702 Unincorporated Enterprises</t>
  </si>
  <si>
    <t xml:space="preserve">      140508 Consumers</t>
  </si>
  <si>
    <t>1406 Policy Loans</t>
  </si>
  <si>
    <t xml:space="preserve"> TOTAL LOANS </t>
  </si>
  <si>
    <t xml:space="preserve"> 1409 Provision for Loan Losses</t>
  </si>
  <si>
    <t xml:space="preserve">     140901 General Loan Provision</t>
  </si>
  <si>
    <t xml:space="preserve">     140902 Specific Loan Provision</t>
  </si>
  <si>
    <t xml:space="preserve"> 14. TOTAL NET LOANS </t>
  </si>
  <si>
    <t xml:space="preserve"> 16. EQUITY IN SUBSIDIARIES AND AFFILIATES</t>
  </si>
  <si>
    <t>1601 Commercial Banks</t>
  </si>
  <si>
    <t xml:space="preserve">    160101 Subsidiaries</t>
  </si>
  <si>
    <t xml:space="preserve">    160102 Affiliates</t>
  </si>
  <si>
    <t>1602 Privately Owned Other Financial Institutions</t>
  </si>
  <si>
    <t xml:space="preserve">    160201 Licensed </t>
  </si>
  <si>
    <t xml:space="preserve">        16020101 Subsidiaries</t>
  </si>
  <si>
    <t xml:space="preserve">        16020102 Affiliates</t>
  </si>
  <si>
    <t xml:space="preserve">    160202 Non Licensed</t>
  </si>
  <si>
    <t xml:space="preserve">        16020201 Subsidiaries</t>
  </si>
  <si>
    <t xml:space="preserve">        16020202 Affiliates</t>
  </si>
  <si>
    <t>1603 State Owned Other Financial Institutions</t>
  </si>
  <si>
    <t xml:space="preserve">    160301 Subsidiaries</t>
  </si>
  <si>
    <t xml:space="preserve">    160302 Affiliates</t>
  </si>
  <si>
    <t>1609 Other</t>
  </si>
  <si>
    <t xml:space="preserve"> 160901 Subsidiaries (Specify name)</t>
  </si>
  <si>
    <t xml:space="preserve">  160902 Affiliates (Specify name)</t>
  </si>
  <si>
    <t xml:space="preserve">16. TOTAL </t>
  </si>
  <si>
    <t xml:space="preserve"> 17.  ACCOUNTS RECEIVABLES (NET)</t>
  </si>
  <si>
    <t>TT $           Denominated</t>
  </si>
  <si>
    <t>Foreign Currency                     (TT$ Equivalent)</t>
  </si>
  <si>
    <t>1701  Interest</t>
  </si>
  <si>
    <t xml:space="preserve">   170102 Deposits</t>
  </si>
  <si>
    <t xml:space="preserve">   170103  Investments</t>
  </si>
  <si>
    <t xml:space="preserve">   170104 Loans</t>
  </si>
  <si>
    <t xml:space="preserve">       17010401 Performing Loans</t>
  </si>
  <si>
    <t xml:space="preserve">       17010402 Non-Performing Loans</t>
  </si>
  <si>
    <t>1702  Commissions</t>
  </si>
  <si>
    <t>1703  Dividends</t>
  </si>
  <si>
    <t>1704 Lease Rentals</t>
  </si>
  <si>
    <t>1705 Taxation Recoverable</t>
  </si>
  <si>
    <t>1706 Notes Receivable</t>
  </si>
  <si>
    <t>1707 Money Market Operations</t>
  </si>
  <si>
    <t xml:space="preserve">        of which</t>
  </si>
  <si>
    <t xml:space="preserve">    170701 Repurchase Agreements</t>
  </si>
  <si>
    <t>1708 Other (Specify)</t>
  </si>
  <si>
    <t>1710 Employees</t>
  </si>
  <si>
    <t xml:space="preserve">1711 Agents </t>
  </si>
  <si>
    <t xml:space="preserve">    171101 Long Term Insurance Business</t>
  </si>
  <si>
    <t xml:space="preserve">    171102 Motor Vehicle Insurance Business</t>
  </si>
  <si>
    <t xml:space="preserve">    171103 Other than Long Term or Motor Insurance Business</t>
  </si>
  <si>
    <t xml:space="preserve">1712 Insurance Companies </t>
  </si>
  <si>
    <r>
      <t xml:space="preserve">Outstanding premiums </t>
    </r>
    <r>
      <rPr>
        <sz val="10"/>
        <color indexed="10"/>
        <rFont val="Times New Roman"/>
        <family val="1"/>
      </rPr>
      <t>- the minimum of:</t>
    </r>
  </si>
  <si>
    <t>Subtotal Deductions</t>
  </si>
  <si>
    <t>Subtotal of Liabilities to Trinidad and Tobago Policyholders</t>
  </si>
  <si>
    <t>30% of Net Premium Income for the last four quarters</t>
  </si>
  <si>
    <t>Outstanding Premiums aged 0 - 45 days</t>
  </si>
  <si>
    <t xml:space="preserve">  51002  Bonuses</t>
  </si>
  <si>
    <t xml:space="preserve">  51003  Other</t>
  </si>
  <si>
    <t xml:space="preserve">    171201 Long Term Insurance Business</t>
  </si>
  <si>
    <t xml:space="preserve">    171202 Motor Vehicle Insurance Business</t>
  </si>
  <si>
    <t xml:space="preserve">    171203 Other than Long Term or Motor Insurance Business</t>
  </si>
  <si>
    <t>1713 Brokers</t>
  </si>
  <si>
    <t xml:space="preserve">    171301 Long Term Insurance Business</t>
  </si>
  <si>
    <t xml:space="preserve">    171302 Motor Vehicle Insurance Business</t>
  </si>
  <si>
    <t xml:space="preserve">    171303 Other than Long Term or Motor Insurance Business</t>
  </si>
  <si>
    <t>1714 Reinsurance Recoverable</t>
  </si>
  <si>
    <t xml:space="preserve">    171401 Long Term Insurance Business</t>
  </si>
  <si>
    <t xml:space="preserve">    171402 Motor Vehicle Insurance Business</t>
  </si>
  <si>
    <t xml:space="preserve">    171403 Other than Long Term or Motor Insurance Business</t>
  </si>
  <si>
    <t>1715 Due from Related Parties</t>
  </si>
  <si>
    <t>1716 Policyholders</t>
  </si>
  <si>
    <t xml:space="preserve">    171601 Long Term Insurance Business</t>
  </si>
  <si>
    <t xml:space="preserve">    171602 Motor Vehicle Insurance Business</t>
  </si>
  <si>
    <t xml:space="preserve">    171603 Other than Long Term or Motor Insurance Business</t>
  </si>
  <si>
    <t>1709 Provisions</t>
  </si>
  <si>
    <t xml:space="preserve">    170901 For Losses on Interest Receivable on Loans</t>
  </si>
  <si>
    <t xml:space="preserve">   170902 Other</t>
  </si>
  <si>
    <t xml:space="preserve">17. TOTAL </t>
  </si>
  <si>
    <t xml:space="preserve"> 18.  FIXED ASSETS (NET)</t>
  </si>
  <si>
    <t xml:space="preserve"> 1801 Land and Buildings</t>
  </si>
  <si>
    <t xml:space="preserve"> 1802 Equipment on Lease</t>
  </si>
  <si>
    <t xml:space="preserve"> 1803 Other Machinery and Equipment</t>
  </si>
  <si>
    <t xml:space="preserve"> 1809 Depreciation</t>
  </si>
  <si>
    <t xml:space="preserve">    180901 Fixed Assets</t>
  </si>
  <si>
    <t xml:space="preserve">    180902 Amortization on Leased Assets</t>
  </si>
  <si>
    <t xml:space="preserve"> 18. TOTAL </t>
  </si>
  <si>
    <t xml:space="preserve"> 19.  PREPAID EXPENSES &amp; OTHER ASSETS</t>
  </si>
  <si>
    <t>1901 Prepaid Expenses</t>
  </si>
  <si>
    <t>1903 Items in Suspense</t>
  </si>
  <si>
    <t>1904 Deferred Tax</t>
  </si>
  <si>
    <t>1905 Postage Stamps</t>
  </si>
  <si>
    <t>1909 Other</t>
  </si>
  <si>
    <t xml:space="preserve">    190901 Employee Benefits</t>
  </si>
  <si>
    <t xml:space="preserve">    190902 Goodwill</t>
  </si>
  <si>
    <t xml:space="preserve">    190903 Other (Specify)</t>
  </si>
  <si>
    <t>19. TOTAL</t>
  </si>
  <si>
    <t>2. LIABILITIES</t>
  </si>
  <si>
    <t>408. OTHER OPERATING INCOME</t>
  </si>
  <si>
    <t>408. Other Operating Income</t>
  </si>
  <si>
    <t>Company Code</t>
  </si>
  <si>
    <t xml:space="preserve"> SELECT INSURANCE COMPANY</t>
  </si>
  <si>
    <t>ALGICOGN</t>
  </si>
  <si>
    <t>ALGICOLF</t>
  </si>
  <si>
    <t>BANC</t>
  </si>
  <si>
    <t>Bancassurance Caribbean Limited</t>
  </si>
  <si>
    <t>BANKR</t>
  </si>
  <si>
    <t>Bankers Insurance Company of Trinidad and Tobago Limited</t>
  </si>
  <si>
    <t>BRTAM</t>
  </si>
  <si>
    <t>British American Insurance Company (Trinidad) Limited</t>
  </si>
  <si>
    <t>CAPTL</t>
  </si>
  <si>
    <t>Capital Insurance Limited</t>
  </si>
  <si>
    <t>CALICO</t>
  </si>
  <si>
    <t>Caribbean Atlantic Life Insurance Company Limited</t>
  </si>
  <si>
    <t>CARIB</t>
  </si>
  <si>
    <t>Caribbean Insurance Company Limited</t>
  </si>
  <si>
    <t>CITZN</t>
  </si>
  <si>
    <t>Citizen Insurance Company Limited</t>
  </si>
  <si>
    <t>COLFR</t>
  </si>
  <si>
    <t>Colonial Fire and General Insurance Company Limited</t>
  </si>
  <si>
    <t>CLICO</t>
  </si>
  <si>
    <t>Colonial Life Insurance Company (Trinidad) Limited</t>
  </si>
  <si>
    <t>CUNAC</t>
  </si>
  <si>
    <t>Cuna Caribbean Insurance Society Limited</t>
  </si>
  <si>
    <t>CUNAM</t>
  </si>
  <si>
    <t>Cuna Mutual Insurance Society</t>
  </si>
  <si>
    <t>DEMRA</t>
  </si>
  <si>
    <t>Demerara Life Assurance Company of Trinidad &amp; Tobago Limited</t>
  </si>
  <si>
    <t>EXIMB</t>
  </si>
  <si>
    <t>Export Import Bank of Trinidad &amp; Tobago (Eximbank) Limited</t>
  </si>
  <si>
    <t>FURNS</t>
  </si>
  <si>
    <t>Furness Anchorage General Insurance Limited</t>
  </si>
  <si>
    <t>GDWIL</t>
  </si>
  <si>
    <t>Goodwill General Insurance Company Limited</t>
  </si>
  <si>
    <t>GTM</t>
  </si>
  <si>
    <t>GGIL</t>
  </si>
  <si>
    <t>Guardian General Insurance Limited</t>
  </si>
  <si>
    <t>GLOC</t>
  </si>
  <si>
    <t>Guardian Life of the Caribbean Limited</t>
  </si>
  <si>
    <t>GULF</t>
  </si>
  <si>
    <t>Gulf Insurance Limited</t>
  </si>
  <si>
    <t>MTGN</t>
  </si>
  <si>
    <t>Maritime General Insurance Company Limited</t>
  </si>
  <si>
    <t>MTLF</t>
  </si>
  <si>
    <t>Maritime Life (Caribbean) Limited</t>
  </si>
  <si>
    <t>MEGA</t>
  </si>
  <si>
    <t>MAGIC</t>
  </si>
  <si>
    <t>Motor and General Insurance Limited</t>
  </si>
  <si>
    <t>MTONE</t>
  </si>
  <si>
    <t>Motor One Insurance Company Limited</t>
  </si>
  <si>
    <t>NWIDE</t>
  </si>
  <si>
    <t>Nationwide Insurance Company Limited</t>
  </si>
  <si>
    <t>ROYAL</t>
  </si>
  <si>
    <t>Royal Caribbean Insurance Limited</t>
  </si>
  <si>
    <t>SAGN</t>
  </si>
  <si>
    <t>Sagicor General Insurance Inc.</t>
  </si>
  <si>
    <t>SALF</t>
  </si>
  <si>
    <t>Sagicor Life Inc</t>
  </si>
  <si>
    <t>SCOLF</t>
  </si>
  <si>
    <t>Scotialife Trinidad and Tobago Limited</t>
  </si>
  <si>
    <t>SUNLF</t>
  </si>
  <si>
    <t>Sun Life Assurance Company of Canada</t>
  </si>
  <si>
    <t>TATLF</t>
  </si>
  <si>
    <t>Tatil Life Assurance Limited</t>
  </si>
  <si>
    <t>BEACN</t>
  </si>
  <si>
    <t>The Beacon Insurance Company Limited</t>
  </si>
  <si>
    <t>GRTNT</t>
  </si>
  <si>
    <t>The Great Northern Insurance Company Limited</t>
  </si>
  <si>
    <t>MOUGN</t>
  </si>
  <si>
    <t>The Mountain General Insurance Company Limited</t>
  </si>
  <si>
    <t>NWIND</t>
  </si>
  <si>
    <t>PRES</t>
  </si>
  <si>
    <t>The Presidential Insurance Company Limited</t>
  </si>
  <si>
    <t>TRINR</t>
  </si>
  <si>
    <t>WESGN</t>
  </si>
  <si>
    <t>The Western General Insurance Company Limited</t>
  </si>
  <si>
    <t>TATIL</t>
  </si>
  <si>
    <t>Trinidad and Tobago Insurance Limited</t>
  </si>
  <si>
    <t>UNTD</t>
  </si>
  <si>
    <t>USLF</t>
  </si>
  <si>
    <t>United Security Life Insurance Company Limited</t>
  </si>
  <si>
    <t>Contents</t>
  </si>
  <si>
    <t>CENTRAL BANK OF TRINIDAD AND TOBAGO</t>
  </si>
  <si>
    <t>FOR</t>
  </si>
  <si>
    <t>For the Quarter Ended</t>
  </si>
  <si>
    <t>mm/dd/yyyy</t>
  </si>
  <si>
    <t>Date Submitted</t>
  </si>
  <si>
    <t>CB20</t>
  </si>
  <si>
    <t>CB40</t>
  </si>
  <si>
    <t>Schedule 1A</t>
  </si>
  <si>
    <t>Schedule 1B</t>
  </si>
  <si>
    <t>CB201</t>
  </si>
  <si>
    <t>CB202</t>
  </si>
  <si>
    <t>Statutory Deposit</t>
  </si>
  <si>
    <t>Statutory Fund - Long Term Business</t>
  </si>
  <si>
    <t>Statutory Fund - Motor Vehicle Business</t>
  </si>
  <si>
    <t>Notes</t>
  </si>
  <si>
    <t xml:space="preserve">Statutory Deposit Requirement as at the end of </t>
  </si>
  <si>
    <t>Statutory Fund in respect of Long-Term Insurance Business as at</t>
  </si>
  <si>
    <t>CB202 as at</t>
  </si>
  <si>
    <t>CB201 as at</t>
  </si>
  <si>
    <t>of which</t>
  </si>
  <si>
    <t>24. BORROWINGS (UP TO 1 YEAR)</t>
  </si>
  <si>
    <t>2402 Commercial Banks</t>
  </si>
  <si>
    <t xml:space="preserve">      240201 Operational Balances</t>
  </si>
  <si>
    <t xml:space="preserve">      240202 Short Term Loans</t>
  </si>
  <si>
    <t>2403 Other Financial Institutions</t>
  </si>
  <si>
    <t xml:space="preserve">     240301 State-Owned </t>
  </si>
  <si>
    <t xml:space="preserve">     240302 Private </t>
  </si>
  <si>
    <t xml:space="preserve"> 2409 Non-Financial Institutions</t>
  </si>
  <si>
    <t xml:space="preserve"> 24. TOTAL</t>
  </si>
  <si>
    <t>27. LONG TERM LIABILITIES</t>
  </si>
  <si>
    <t xml:space="preserve"> 2702 Commercial Banks</t>
  </si>
  <si>
    <t xml:space="preserve"> 2703 Other Financial Institutions</t>
  </si>
  <si>
    <t xml:space="preserve">     270301 State-Owned  </t>
  </si>
  <si>
    <t xml:space="preserve">     270302 Private </t>
  </si>
  <si>
    <t xml:space="preserve"> 2704 Fund Raising Instruments</t>
  </si>
  <si>
    <t xml:space="preserve"> 2705  Deferred Income Tax </t>
  </si>
  <si>
    <t xml:space="preserve"> 2709 Other (Specify)</t>
  </si>
  <si>
    <t xml:space="preserve"> 27. TOTAL</t>
  </si>
  <si>
    <t xml:space="preserve">7.  CONTINGENCIES </t>
  </si>
  <si>
    <t>7204 Loan and Lease Commitments</t>
  </si>
  <si>
    <t>7206 Pending Litigations</t>
  </si>
  <si>
    <t>7209 Other (Specify)</t>
  </si>
  <si>
    <t>7. TOTAL</t>
  </si>
  <si>
    <t>8.  MEMORANDA ACCOUNTS - ASSETS</t>
  </si>
  <si>
    <t>8101 Own Securities Assigned as Collateral</t>
  </si>
  <si>
    <t>8102 Charged off Fixed Assets</t>
  </si>
  <si>
    <t>8103 Due from Sub., Affil., Assoc. &amp; Parent Companies</t>
  </si>
  <si>
    <t xml:space="preserve">     810301 Subsidiaries</t>
  </si>
  <si>
    <t xml:space="preserve">            81030101 Loans</t>
  </si>
  <si>
    <t xml:space="preserve">            81030102 Investments</t>
  </si>
  <si>
    <t xml:space="preserve">            81030103 Other</t>
  </si>
  <si>
    <t xml:space="preserve">     810302 Affiliates &amp; Associates</t>
  </si>
  <si>
    <t xml:space="preserve">             81030201 Loans</t>
  </si>
  <si>
    <t xml:space="preserve">             81030202 Investments</t>
  </si>
  <si>
    <t xml:space="preserve">             81030203 Other</t>
  </si>
  <si>
    <t xml:space="preserve">      810303 Parent Company</t>
  </si>
  <si>
    <t xml:space="preserve">            81030301 Loans</t>
  </si>
  <si>
    <t xml:space="preserve">            81030302 Investments</t>
  </si>
  <si>
    <t xml:space="preserve">            81030303 Other</t>
  </si>
  <si>
    <t xml:space="preserve"> 8104 Loans to Companies with Foreign Equity</t>
  </si>
  <si>
    <t>xxxxxxxxxxxxxxx</t>
  </si>
  <si>
    <t xml:space="preserve">       810401 of which Companies with &gt;50% Foreign Equity</t>
  </si>
  <si>
    <t>8105 Loans to Staff</t>
  </si>
  <si>
    <t>8108  Rescheduled Loans</t>
  </si>
  <si>
    <t xml:space="preserve">   810801  First Time Rescheduled</t>
  </si>
  <si>
    <t xml:space="preserve">   810802  Previously Rescheduled</t>
  </si>
  <si>
    <t>Written Off</t>
  </si>
  <si>
    <t>Capitalized</t>
  </si>
  <si>
    <t>8109 Accrued Interest on Rescheduled Loans</t>
  </si>
  <si>
    <t xml:space="preserve">     810901  First Time Rescheduled </t>
  </si>
  <si>
    <t xml:space="preserve">     810902  Previously Rescheduled</t>
  </si>
  <si>
    <t xml:space="preserve"> 8110  PAST DUE LOANS</t>
  </si>
  <si>
    <t>1 Mth</t>
  </si>
  <si>
    <t>Over 1-3 Mths</t>
  </si>
  <si>
    <t>Over 3 -6 Mths</t>
  </si>
  <si>
    <t>Total 1-6 Months</t>
  </si>
  <si>
    <t>811010 Real Estate</t>
  </si>
  <si>
    <t>811013 Other</t>
  </si>
  <si>
    <t>SUB-TOTAL</t>
  </si>
  <si>
    <t>8110 PAST DUE LOANS (Continued)</t>
  </si>
  <si>
    <t>Over 6-12 Mths</t>
  </si>
  <si>
    <t>Over 12 - 24 Mths</t>
  </si>
  <si>
    <t>Over 24 Mths</t>
  </si>
  <si>
    <t>Total Over 6 Months</t>
  </si>
  <si>
    <t xml:space="preserve"> 3-6 Mths</t>
  </si>
  <si>
    <t>82. MEMORANDA ACCOUNTS - LIABILITIES</t>
  </si>
  <si>
    <t xml:space="preserve">8202 Due to Sub., Affil., Assoc. &amp; Parent Companies </t>
  </si>
  <si>
    <t xml:space="preserve">    820201 Loans</t>
  </si>
  <si>
    <t xml:space="preserve">         82020101 Subsidiaries</t>
  </si>
  <si>
    <t xml:space="preserve">         82020102  Affiliates &amp; Associates</t>
  </si>
  <si>
    <t xml:space="preserve">         82020103 Parent Company</t>
  </si>
  <si>
    <t xml:space="preserve">    820203 Other</t>
  </si>
  <si>
    <t xml:space="preserve">         82020301 Subsidiaries</t>
  </si>
  <si>
    <t xml:space="preserve">         82020302  Affiliates &amp; Associates</t>
  </si>
  <si>
    <t xml:space="preserve">         82020303 Parent Company</t>
  </si>
  <si>
    <t>8204  Investment Contracts</t>
  </si>
  <si>
    <t xml:space="preserve">    820401 Central Government</t>
  </si>
  <si>
    <t xml:space="preserve">    820402 Local Government</t>
  </si>
  <si>
    <t xml:space="preserve">    820403 State-Owned Other Financial Institutions</t>
  </si>
  <si>
    <t xml:space="preserve">    820404 Other Government Bodies</t>
  </si>
  <si>
    <t xml:space="preserve">       82040401 State-Owned Non-Financial Enterprises</t>
  </si>
  <si>
    <t xml:space="preserve">       82040402 Public Utilities</t>
  </si>
  <si>
    <t xml:space="preserve">       82040403  Statutory Boards</t>
  </si>
  <si>
    <t xml:space="preserve">    820405 Commercial Banks</t>
  </si>
  <si>
    <t xml:space="preserve">    820406 Other Private Financial Institutions</t>
  </si>
  <si>
    <t xml:space="preserve">       82040601 Licensed</t>
  </si>
  <si>
    <t xml:space="preserve">       82040602 Non-Licensed</t>
  </si>
  <si>
    <t xml:space="preserve">    820407 Non Financial Institutions</t>
  </si>
  <si>
    <t xml:space="preserve">       82040701 Incorporated Enterprises</t>
  </si>
  <si>
    <t xml:space="preserve">       82040702 Unincorporated Enterprises</t>
  </si>
  <si>
    <t xml:space="preserve">    820408 Consumers</t>
  </si>
  <si>
    <t>8205 Accounts Payable</t>
  </si>
  <si>
    <t>0 - 45 days</t>
  </si>
  <si>
    <t>45 Days -3 Mths</t>
  </si>
  <si>
    <t>Total Over 6 Mths</t>
  </si>
  <si>
    <t xml:space="preserve">   820501 Policyholders </t>
  </si>
  <si>
    <t xml:space="preserve">       82050101 Claims (Gross)</t>
  </si>
  <si>
    <t xml:space="preserve">       82050102 Dividends/Bonus</t>
  </si>
  <si>
    <t xml:space="preserve">   820502 Agents and Salesmen  </t>
  </si>
  <si>
    <t xml:space="preserve">   820503 Insurance Companies  </t>
  </si>
  <si>
    <t xml:space="preserve">       82050301  Subrogated Balances</t>
  </si>
  <si>
    <t xml:space="preserve">       82050302  Premiums </t>
  </si>
  <si>
    <t xml:space="preserve">       82050303 Other </t>
  </si>
  <si>
    <t xml:space="preserve">   820504 Brokers   </t>
  </si>
  <si>
    <t xml:space="preserve">       82050401  Premiums </t>
  </si>
  <si>
    <t xml:space="preserve">       82050402 Other </t>
  </si>
  <si>
    <t xml:space="preserve">    820505 Reinsurance Payable</t>
  </si>
  <si>
    <t>SUB-TOTAL ACCOUNTS PAYABLE</t>
  </si>
  <si>
    <t>83. OTHER MEMORANDA ACCOUNTS</t>
  </si>
  <si>
    <t>8303 Total Number of Persons Employed</t>
  </si>
  <si>
    <t>1A. INTEREST RATES ON TT DOLLAR MORTGAGE LOANS</t>
  </si>
  <si>
    <t>UNDER 5 YEARS</t>
  </si>
  <si>
    <t>5 - 10 YEARS</t>
  </si>
  <si>
    <t>10 - 15 YEARS</t>
  </si>
  <si>
    <t>15  - 20 YEARS</t>
  </si>
  <si>
    <t>20 - 25 YEARS</t>
  </si>
  <si>
    <t>Over 25 YEARS</t>
  </si>
  <si>
    <t>RATE (%)</t>
  </si>
  <si>
    <t>HIGHEST</t>
  </si>
  <si>
    <t>LOWEST</t>
  </si>
  <si>
    <t>ANNOUNCED</t>
  </si>
  <si>
    <t>ACTUAL</t>
  </si>
  <si>
    <t>NO. OF MORTGAGES</t>
  </si>
  <si>
    <t>VALUE OF MORTGAGES</t>
  </si>
  <si>
    <t>0  -  3</t>
  </si>
  <si>
    <t>3.1  -  4</t>
  </si>
  <si>
    <t>4.1  -  5</t>
  </si>
  <si>
    <t>5.1  -  7</t>
  </si>
  <si>
    <t>7.1  -  9</t>
  </si>
  <si>
    <t>9.1  -  11</t>
  </si>
  <si>
    <t>over 11</t>
  </si>
  <si>
    <t>MORTGAGE PERIOD</t>
  </si>
  <si>
    <t>OVER 25 YEARS</t>
  </si>
  <si>
    <t>INTEREST EARNED</t>
  </si>
  <si>
    <t>1B. INTEREST RATES ON TT DOLLAR INVESTMENT CONTRACTS</t>
  </si>
  <si>
    <t>1 - 2 YEARS</t>
  </si>
  <si>
    <t>2 - 3 YEARS</t>
  </si>
  <si>
    <t>3 - 5 YEARS</t>
  </si>
  <si>
    <t>OVER 5 YEARS</t>
  </si>
  <si>
    <t>NO. OF CONTRACTS</t>
  </si>
  <si>
    <t>VALUE OF CONTRACTS</t>
  </si>
  <si>
    <t>OVER 11</t>
  </si>
  <si>
    <t>CONTRACT PERIOD</t>
  </si>
  <si>
    <t>INTEREST EXPENSED</t>
  </si>
  <si>
    <t>Country</t>
  </si>
  <si>
    <t xml:space="preserve">Government Securities </t>
  </si>
  <si>
    <t>Fin.Institutions Securities</t>
  </si>
  <si>
    <t>Non-Fin.Institutions Securities</t>
  </si>
  <si>
    <t>Time Deposits</t>
  </si>
  <si>
    <t>Quoted Shares</t>
  </si>
  <si>
    <t xml:space="preserve">Market Value of Securities placed on deposit with the Central Bank in respect of Motor Insurance business </t>
  </si>
  <si>
    <t xml:space="preserve">Value of Statutory Fund Assets </t>
  </si>
  <si>
    <t>Statutory Fund in respect of Motor Vehicle Insurance Business as at quarter ended:</t>
  </si>
  <si>
    <t>Unquoted Shares</t>
  </si>
  <si>
    <t>Mutual Funds</t>
  </si>
  <si>
    <t>Investment Properties</t>
  </si>
  <si>
    <t>Other Investments</t>
  </si>
  <si>
    <t>Gross Total Investments</t>
  </si>
  <si>
    <t>Equity in Subs. &amp; Affil.</t>
  </si>
  <si>
    <t>Loans</t>
  </si>
  <si>
    <t>Antigua and Barbuda</t>
  </si>
  <si>
    <t>Aruba</t>
  </si>
  <si>
    <t>Australia</t>
  </si>
  <si>
    <t>Argentina</t>
  </si>
  <si>
    <t>Barbados</t>
  </si>
  <si>
    <t>Belize</t>
  </si>
  <si>
    <t>Brazil</t>
  </si>
  <si>
    <t>Canada</t>
  </si>
  <si>
    <t>Cayman Islands</t>
  </si>
  <si>
    <t>Chile</t>
  </si>
  <si>
    <t>Colombia</t>
  </si>
  <si>
    <t>Costa Rica</t>
  </si>
  <si>
    <t>Curacao</t>
  </si>
  <si>
    <t>Dominica</t>
  </si>
  <si>
    <t>Dominican Republic</t>
  </si>
  <si>
    <t>Grenada</t>
  </si>
  <si>
    <t>Jamaica</t>
  </si>
  <si>
    <t>Luxemburg</t>
  </si>
  <si>
    <t>Martinique</t>
  </si>
  <si>
    <t>Mexico</t>
  </si>
  <si>
    <t>Netherlands Antilles</t>
  </si>
  <si>
    <t>Panama</t>
  </si>
  <si>
    <t>South Africa</t>
  </si>
  <si>
    <t>St. Kitts and Nevis</t>
  </si>
  <si>
    <t>St. Lucia</t>
  </si>
  <si>
    <t>St. Maarten</t>
  </si>
  <si>
    <t>St.Vincent &amp; Grenadines</t>
  </si>
  <si>
    <t>Suriname</t>
  </si>
  <si>
    <t>Trinidad and Tobago</t>
  </si>
  <si>
    <t>United Kingdom</t>
  </si>
  <si>
    <t>United States</t>
  </si>
  <si>
    <t>Virgin Islands, British</t>
  </si>
  <si>
    <t>Venezuela</t>
  </si>
  <si>
    <t>Other</t>
  </si>
  <si>
    <t>Total Investments</t>
  </si>
  <si>
    <t>Provisions:</t>
  </si>
  <si>
    <t>General</t>
  </si>
  <si>
    <t>Specific</t>
  </si>
  <si>
    <t>Net Investments</t>
  </si>
  <si>
    <t>LIABILITIES BY COUNTRY</t>
  </si>
  <si>
    <t>TRINIDAD &amp; TOBAGO</t>
  </si>
  <si>
    <t>ARUBA</t>
  </si>
  <si>
    <t>BAHAMAS</t>
  </si>
  <si>
    <t>BARBADOS</t>
  </si>
  <si>
    <t>CAYMAN ISLANDS</t>
  </si>
  <si>
    <t>DOMINICA</t>
  </si>
  <si>
    <t>DOMINICAN REPUBLIC</t>
  </si>
  <si>
    <t>GRENADA</t>
  </si>
  <si>
    <t>GUYANA</t>
  </si>
  <si>
    <t>JAMAICA</t>
  </si>
  <si>
    <t>NETHERLAND ANTILLES</t>
  </si>
  <si>
    <t>ST.LUCIA</t>
  </si>
  <si>
    <t>ST.VINCENT &amp; GRENADINES</t>
  </si>
  <si>
    <t>OTHER</t>
  </si>
  <si>
    <t>Long Term Funds</t>
  </si>
  <si>
    <t xml:space="preserve">      Unearned Premium Reserve</t>
  </si>
  <si>
    <t xml:space="preserve">      Unexpired Risk Reserve</t>
  </si>
  <si>
    <t xml:space="preserve">      Catastrophe Reserves</t>
  </si>
  <si>
    <t xml:space="preserve">      Reserves for Experience Rating Refund</t>
  </si>
  <si>
    <t>Claims Admitted &amp; Intimated but not yet paid</t>
  </si>
  <si>
    <t xml:space="preserve">Other Transfers to/from Insurance Funds </t>
  </si>
  <si>
    <t>(Specify)</t>
  </si>
  <si>
    <t>INVESTMENT CONTRACTS</t>
  </si>
  <si>
    <t>BORROWINGS (Up to 1 Year)</t>
  </si>
  <si>
    <t>Commercial Banks - Operational Balances</t>
  </si>
  <si>
    <t>Commercial Banks - Short-Term Loans</t>
  </si>
  <si>
    <t>Other Financial Institutions - State-Owned</t>
  </si>
  <si>
    <t>Other Financial Institutions - Private</t>
  </si>
  <si>
    <t>Non Financial Institutions</t>
  </si>
  <si>
    <t>OTHER CURRENT LIABILTIES</t>
  </si>
  <si>
    <t>Personnel</t>
  </si>
  <si>
    <t>Profits/Dividends Payable</t>
  </si>
  <si>
    <t>Taxation Payable</t>
  </si>
  <si>
    <t>Accounts Payable</t>
  </si>
  <si>
    <t xml:space="preserve">      Policyholders</t>
  </si>
  <si>
    <t xml:space="preserve">      Agents and Salesmen</t>
  </si>
  <si>
    <t xml:space="preserve">      Insurance Companies &amp; Brokers</t>
  </si>
  <si>
    <t xml:space="preserve">      Reinsurance Payable</t>
  </si>
  <si>
    <t xml:space="preserve">      Other Accounts Payable</t>
  </si>
  <si>
    <t>Interest Accrued</t>
  </si>
  <si>
    <t>Items In Suspense</t>
  </si>
  <si>
    <t>Fund Raising Instruments</t>
  </si>
  <si>
    <t>Due To Related Parties</t>
  </si>
  <si>
    <t>Unearned Commissions</t>
  </si>
  <si>
    <t>LONG TERM LIABILITIES</t>
  </si>
  <si>
    <t>Commercial Banks</t>
  </si>
  <si>
    <t xml:space="preserve">Other Financial Institutions - State-Owned  </t>
  </si>
  <si>
    <t xml:space="preserve">Other Financial Institutions - Private </t>
  </si>
  <si>
    <t xml:space="preserve"> Fund Raising Instruments</t>
  </si>
  <si>
    <t>TOTAL LIABILITIES</t>
  </si>
  <si>
    <t>CONTINGENT LIABILITIES</t>
  </si>
  <si>
    <t>Pending Litigations</t>
  </si>
  <si>
    <t>a) Deposit Requirement for Business Other than Long Term or Motor</t>
  </si>
  <si>
    <t>$</t>
  </si>
  <si>
    <t>Total Net Premiums (Other Than Motor Vehicle ) for last 4 quarters</t>
  </si>
  <si>
    <t xml:space="preserve"> Greater of: 40% of Net Premiums or $100,000</t>
  </si>
  <si>
    <t xml:space="preserve">                                           </t>
  </si>
  <si>
    <t>b) Deposit Requirement for Motor Vehicle Insurance Business</t>
  </si>
  <si>
    <t>Net Premiums with respect to Motor Vehicle business for last 4 quarters</t>
  </si>
  <si>
    <t>Greater of: 40% of Net Premiums or $250,000</t>
  </si>
  <si>
    <t>Statutory Deposit Requirement (a+b)</t>
  </si>
  <si>
    <t>Surplus/(Deficit)</t>
  </si>
  <si>
    <t>LIABILITIES TO TRINIDAD AND TOBAGO POLICYHOLDERS</t>
  </si>
  <si>
    <t>Add</t>
  </si>
  <si>
    <t>Long-Term Funds:-</t>
  </si>
  <si>
    <t>Other (specify)</t>
  </si>
  <si>
    <t>Subtotal</t>
  </si>
  <si>
    <t>Less</t>
  </si>
  <si>
    <t>Statutory Fund Requirement</t>
  </si>
  <si>
    <t>Surplus/ (Deficit)</t>
  </si>
  <si>
    <t xml:space="preserve">Statutory Fund Requirement </t>
  </si>
  <si>
    <t>NOTES</t>
  </si>
  <si>
    <t>hdr</t>
  </si>
  <si>
    <t>cb20</t>
  </si>
  <si>
    <t>N</t>
  </si>
  <si>
    <t>sect1</t>
  </si>
  <si>
    <t>all</t>
  </si>
  <si>
    <t>r.tt</t>
  </si>
  <si>
    <t>r.for</t>
  </si>
  <si>
    <t>nr.tt</t>
  </si>
  <si>
    <t>nr.for</t>
  </si>
  <si>
    <t>sect2</t>
  </si>
  <si>
    <t>sect3</t>
  </si>
  <si>
    <t>sect4</t>
  </si>
  <si>
    <t>sect5</t>
  </si>
  <si>
    <t>sect6</t>
  </si>
  <si>
    <t>sect7</t>
  </si>
  <si>
    <t>sect8</t>
  </si>
  <si>
    <t>sect9</t>
  </si>
  <si>
    <t>sect10</t>
  </si>
  <si>
    <t>sect11</t>
  </si>
  <si>
    <t>sect12</t>
  </si>
  <si>
    <t>sect13</t>
  </si>
  <si>
    <t>sect14</t>
  </si>
  <si>
    <t>sect15</t>
  </si>
  <si>
    <t>sect16</t>
  </si>
  <si>
    <t>iwo</t>
  </si>
  <si>
    <t>ic</t>
  </si>
  <si>
    <t>sect17</t>
  </si>
  <si>
    <t>1mth</t>
  </si>
  <si>
    <t>ovr1_3mths</t>
  </si>
  <si>
    <t>ovr3_6mths</t>
  </si>
  <si>
    <t>ovr1_6mths</t>
  </si>
  <si>
    <t>ovr6_12mths</t>
  </si>
  <si>
    <t>ovr12_24mths</t>
  </si>
  <si>
    <t>ovr24mths</t>
  </si>
  <si>
    <t>over_6mths</t>
  </si>
  <si>
    <t>sect18</t>
  </si>
  <si>
    <t>0_45days</t>
  </si>
  <si>
    <t>ovr45days_3mths</t>
  </si>
  <si>
    <t>sect19</t>
  </si>
  <si>
    <t>sect20</t>
  </si>
  <si>
    <t>sect21</t>
  </si>
  <si>
    <t>sect22</t>
  </si>
  <si>
    <t>tt</t>
  </si>
  <si>
    <t>for</t>
  </si>
  <si>
    <t/>
  </si>
  <si>
    <t>sect23</t>
  </si>
  <si>
    <t>sect24</t>
  </si>
  <si>
    <t>sect25</t>
  </si>
  <si>
    <t>sect26</t>
  </si>
  <si>
    <t>sect27</t>
  </si>
  <si>
    <t>num</t>
  </si>
  <si>
    <t>sect28</t>
  </si>
  <si>
    <t>sect29</t>
  </si>
  <si>
    <t>sect30</t>
  </si>
  <si>
    <t>sect31</t>
  </si>
  <si>
    <t>sect32</t>
  </si>
  <si>
    <t>sect33</t>
  </si>
  <si>
    <t>sect34</t>
  </si>
  <si>
    <t>sect35</t>
  </si>
  <si>
    <t>sect36</t>
  </si>
  <si>
    <t>sect37</t>
  </si>
  <si>
    <t>sect38</t>
  </si>
  <si>
    <t>sect39</t>
  </si>
  <si>
    <t>sect40</t>
  </si>
  <si>
    <t>sect41</t>
  </si>
  <si>
    <t>sect42</t>
  </si>
  <si>
    <t>sect43</t>
  </si>
  <si>
    <t>sect44</t>
  </si>
  <si>
    <t>sect45</t>
  </si>
  <si>
    <t>sect46</t>
  </si>
  <si>
    <t>sect47</t>
  </si>
  <si>
    <t>sect48</t>
  </si>
  <si>
    <t>sect49</t>
  </si>
  <si>
    <r>
      <t xml:space="preserve">  </t>
    </r>
    <r>
      <rPr>
        <sz val="9"/>
        <rFont val="Times New Roman"/>
        <family val="1"/>
      </rPr>
      <t>51001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Dividends</t>
    </r>
  </si>
  <si>
    <r>
      <t xml:space="preserve">32.  PAID-IN SURPLUS </t>
    </r>
    <r>
      <rPr>
        <i/>
        <sz val="10"/>
        <color indexed="8"/>
        <rFont val="Times New Roman"/>
        <family val="1"/>
      </rPr>
      <t>(SHARE PREMIUM)</t>
    </r>
  </si>
  <si>
    <r>
      <t xml:space="preserve">Value of Statutory Deposit Assets </t>
    </r>
    <r>
      <rPr>
        <b/>
        <sz val="10"/>
        <color indexed="10"/>
        <rFont val="Arial"/>
        <family val="2"/>
      </rPr>
      <t/>
    </r>
  </si>
  <si>
    <r>
      <t>Loans on policies of the Company (</t>
    </r>
    <r>
      <rPr>
        <sz val="10"/>
        <color indexed="10"/>
        <rFont val="Times New Roman"/>
        <family val="1"/>
      </rPr>
      <t>as per CB20 item 1406)</t>
    </r>
  </si>
  <si>
    <r>
      <t>Interest accrued on policy loans</t>
    </r>
    <r>
      <rPr>
        <sz val="10"/>
        <color indexed="10"/>
        <rFont val="Times New Roman"/>
        <family val="1"/>
      </rPr>
      <t xml:space="preserve"> (as per CB20 item 170104)</t>
    </r>
  </si>
  <si>
    <t>STATEMENT OF INCOME AND EXPENSES</t>
  </si>
  <si>
    <t xml:space="preserve"> 4.  OPERATING INCOME</t>
  </si>
  <si>
    <t>CURRENT QUARTER</t>
  </si>
  <si>
    <t>TT
CURRENCY</t>
  </si>
  <si>
    <t>FOREIGN 
CURRENCY</t>
  </si>
  <si>
    <t xml:space="preserve">  401   INTEREST INCOME</t>
  </si>
  <si>
    <t xml:space="preserve">  402   FEE INCOME</t>
  </si>
  <si>
    <t xml:space="preserve">  403   DIVIDEND INC. (EXCL. INCOME FROM EQUITY IN SUBS.&amp; AFFIL)</t>
  </si>
  <si>
    <t xml:space="preserve">  404   RENTAL INCOME</t>
  </si>
  <si>
    <t xml:space="preserve">  405   FOREIGN EXCHANGE PROFIT/(LOSS)</t>
  </si>
  <si>
    <t xml:space="preserve">  407  LEASE INCOME</t>
  </si>
  <si>
    <t xml:space="preserve">  408  OTHER OPERATING INCOME</t>
  </si>
  <si>
    <t xml:space="preserve">      TOTAL OPERATING INCOME</t>
  </si>
  <si>
    <t xml:space="preserve"> 5. OPERATING EXPENSES</t>
  </si>
  <si>
    <t xml:space="preserve">  501   INTEREST EXPENSES</t>
  </si>
  <si>
    <t xml:space="preserve">  502   SALARIES &amp; EMPLOYEE BENEFITS</t>
  </si>
  <si>
    <t xml:space="preserve">  503   PROFESSIONAL SERVICES LOCAL</t>
  </si>
  <si>
    <t xml:space="preserve">  504   PROFESSIONAL SERVICES FOREIGN</t>
  </si>
  <si>
    <t xml:space="preserve">  505   OCCUPANCY EXPENSES</t>
  </si>
  <si>
    <t xml:space="preserve">  506   ADDITIONS (RELEASES) TO PROVISIONS</t>
  </si>
  <si>
    <t xml:space="preserve">  507   LOANS WRITTEN OFF</t>
  </si>
  <si>
    <t xml:space="preserve">  508   OTHER OPERATING EXPENSES</t>
  </si>
  <si>
    <t xml:space="preserve">  510  INSURANCE  BENEFITS (GROSS)</t>
  </si>
  <si>
    <t xml:space="preserve">  511  INCREASE/(DECREASE) IN POLICYHOLDERS RESERVE</t>
  </si>
  <si>
    <t xml:space="preserve">      TOTAL OPERATING EXPENSES</t>
  </si>
  <si>
    <t xml:space="preserve"> 601   OPERATING  PROFIT/(LOSS)</t>
  </si>
  <si>
    <t xml:space="preserve">  602    ADD: DIVIDENDS FROM SUBSIDIARIES &amp; AFFILIATES</t>
  </si>
  <si>
    <t xml:space="preserve"> 603   PROFIT/(LOSS) BEFORE EXTRA. ITEMS</t>
  </si>
  <si>
    <t xml:space="preserve">  604   ADD: EXTRAORDINARY INCOME</t>
  </si>
  <si>
    <t xml:space="preserve">  605   LESS: EXTRAORDINARY EXPENSES</t>
  </si>
  <si>
    <t xml:space="preserve"> 606   PROFIT/(LOSS) BEFORE TAX</t>
  </si>
  <si>
    <t xml:space="preserve">  607   LESS: INCOME TAXES</t>
  </si>
  <si>
    <t xml:space="preserve"> 608   PROFIT/(LOSS) AFTER TAX</t>
  </si>
  <si>
    <t xml:space="preserve">  609   ADD/LESS ADJUSTMENTS TO PRIOR PERIODS</t>
  </si>
  <si>
    <t xml:space="preserve"> 700   NET PROFIT/(LOSS)</t>
  </si>
  <si>
    <t xml:space="preserve">     701  MEMO - DIVIDENDS:</t>
  </si>
  <si>
    <t xml:space="preserve">             70101  PAID</t>
  </si>
  <si>
    <t xml:space="preserve">             70102 PROPOSED </t>
  </si>
  <si>
    <t xml:space="preserve">                       TOTAL</t>
  </si>
  <si>
    <t xml:space="preserve">                       </t>
  </si>
  <si>
    <t xml:space="preserve">401.  INTEREST INCOME </t>
  </si>
  <si>
    <t xml:space="preserve">  40101 Due from Banks</t>
  </si>
  <si>
    <t xml:space="preserve">   4010101 Local</t>
  </si>
  <si>
    <t xml:space="preserve">   4010102 Foreign</t>
  </si>
  <si>
    <t xml:space="preserve">  40103 Total Investments</t>
  </si>
  <si>
    <t xml:space="preserve">   4010301 Local Investments</t>
  </si>
  <si>
    <t xml:space="preserve">   4010302 Foreign Investments</t>
  </si>
  <si>
    <t xml:space="preserve">  40104  Loans</t>
  </si>
  <si>
    <t xml:space="preserve">    4010403 Real Estate Loans</t>
  </si>
  <si>
    <t xml:space="preserve">        401040301 Commercial Mortgages</t>
  </si>
  <si>
    <t xml:space="preserve">        401040302 Residential Mortgages</t>
  </si>
  <si>
    <t xml:space="preserve">    4010404 Policy loans</t>
  </si>
  <si>
    <t xml:space="preserve">  40105    Other (Specify)</t>
  </si>
  <si>
    <t>401. Total Interest Income</t>
  </si>
  <si>
    <t>402. FEE INCOME</t>
  </si>
  <si>
    <t xml:space="preserve">  40201    Loans</t>
  </si>
  <si>
    <t xml:space="preserve">  40204    Administration Fees - HMB</t>
  </si>
  <si>
    <t xml:space="preserve">  40205    Service Fees</t>
  </si>
  <si>
    <t xml:space="preserve">  40206    Investment Fees</t>
  </si>
  <si>
    <t xml:space="preserve">  40207    Policy Fees</t>
  </si>
  <si>
    <t xml:space="preserve">  40208    Deposit Administration</t>
  </si>
  <si>
    <t xml:space="preserve">  40209    Other (Specify)</t>
  </si>
  <si>
    <t>402. Total Fee Income</t>
  </si>
  <si>
    <t xml:space="preserve">  4080201    Investment Properties</t>
  </si>
  <si>
    <t xml:space="preserve">  4080202    Equity Securities</t>
  </si>
  <si>
    <t xml:space="preserve">  4080203    Debt Securities</t>
  </si>
  <si>
    <t xml:space="preserve">  4080209    Other</t>
  </si>
  <si>
    <t xml:space="preserve">  40802    Net Fair Value Gains / (Losses) on Assets</t>
  </si>
  <si>
    <t xml:space="preserve">  40801    Net Realised Gains / (Losses) on Assets</t>
  </si>
  <si>
    <t>sect51</t>
  </si>
  <si>
    <t>Long Term Business</t>
  </si>
  <si>
    <t>NUMBER</t>
  </si>
  <si>
    <t>501   INTEREST EXPENSES</t>
  </si>
  <si>
    <t xml:space="preserve">  50106   Borrowings (up to 1 year)</t>
  </si>
  <si>
    <t xml:space="preserve">  50107   Long-Term Borrowings</t>
  </si>
  <si>
    <t xml:space="preserve">  50108  Investment Contracts</t>
  </si>
  <si>
    <t xml:space="preserve">  50110  Dividends</t>
  </si>
  <si>
    <t xml:space="preserve">  50111  Claims</t>
  </si>
  <si>
    <t xml:space="preserve">  50112  Refund of Premiums</t>
  </si>
  <si>
    <t xml:space="preserve">  50113  Real Estate Mortgage Expense</t>
  </si>
  <si>
    <t xml:space="preserve">     5011301  Land and Buildings</t>
  </si>
  <si>
    <t xml:space="preserve">     5011302  Investment Properties</t>
  </si>
  <si>
    <t xml:space="preserve">  50109   Other</t>
  </si>
  <si>
    <t xml:space="preserve">501. Total Interest Expenses </t>
  </si>
  <si>
    <t>506.   ADDITIONS (RELEASES) TO PROVISIONS</t>
  </si>
  <si>
    <t>50601 Loans</t>
  </si>
  <si>
    <t>50602 Receivables</t>
  </si>
  <si>
    <t xml:space="preserve">   5060202 Agents </t>
  </si>
  <si>
    <t xml:space="preserve">   5060203 Insurance Companies</t>
  </si>
  <si>
    <t xml:space="preserve">   5060204 Brokers</t>
  </si>
  <si>
    <t xml:space="preserve">   5060205 Due from Related Parties</t>
  </si>
  <si>
    <t xml:space="preserve">   5060206 Policyholders</t>
  </si>
  <si>
    <t>50603 Securities</t>
  </si>
  <si>
    <t xml:space="preserve">506. Total Additions (Releases) to Provisions </t>
  </si>
  <si>
    <t xml:space="preserve">508. OTHER OPERATING EXPENSES </t>
  </si>
  <si>
    <t>50801 Depreciation</t>
  </si>
  <si>
    <t xml:space="preserve">     5080101 Fixed Assets</t>
  </si>
  <si>
    <t xml:space="preserve">     5080102 Amortisation of Leased Assets</t>
  </si>
  <si>
    <t xml:space="preserve">     5080103 Investment Properties</t>
  </si>
  <si>
    <t>50802  Escort and Guard Fees</t>
  </si>
  <si>
    <t>50803  Software Development</t>
  </si>
  <si>
    <t>50804  Advertising</t>
  </si>
  <si>
    <t>50805  Cost &amp; Maintenance of Furniture &amp; Equipment</t>
  </si>
  <si>
    <t>50806  Entertainment</t>
  </si>
  <si>
    <t>50807  Deposit Insurance</t>
  </si>
  <si>
    <t>50808  Other (Specify)</t>
  </si>
  <si>
    <t xml:space="preserve">508. Total Operating Expenses </t>
  </si>
  <si>
    <t xml:space="preserve"> Long Term Business</t>
  </si>
  <si>
    <t xml:space="preserve">  510.  INSURANCE BENEFITS (GROSS)</t>
  </si>
  <si>
    <t xml:space="preserve"> </t>
  </si>
  <si>
    <t>510. Total Insurance Benefits (Gross)</t>
  </si>
  <si>
    <t>511.   INCREASE/(DECREASE) IN POLICYHOLDERS RESERVE</t>
  </si>
  <si>
    <t>51101 Increase/(Decrease) in Long-term Policyholder Liabilities</t>
  </si>
  <si>
    <t>51102  Increase/(Decrease) in Unearned Premium Reserve</t>
  </si>
  <si>
    <t>51103  Increase/(Decrease) in Unexpired Risk Reserve</t>
  </si>
  <si>
    <t>51104  Increase/(Decrease) in Catastrophe Reserves</t>
  </si>
  <si>
    <t>51105  Increase/(Decrease) in Experience Rating Refund</t>
  </si>
  <si>
    <t>511 Total Increase/Decrease in Policyholders Reserve</t>
  </si>
  <si>
    <t>sect50</t>
  </si>
  <si>
    <t>ICWI</t>
  </si>
  <si>
    <t>The Insurance Company of the West Indies Limited</t>
  </si>
  <si>
    <t>Pan-American Life Insurance Company of Trinidad and Tobago Limited (General Division)</t>
  </si>
  <si>
    <t>Pan-American Life Insurance Company of Trinidad and Tobago Limited (Life Division)</t>
  </si>
  <si>
    <t>NAGICO Insurance (Trinidad and Tobago) Limited</t>
  </si>
  <si>
    <t xml:space="preserve">xxxxxxxxxxxxxx </t>
  </si>
  <si>
    <t>Assuria Life (T&amp;T) Ltd.</t>
  </si>
  <si>
    <t>Trinre Insurance Company Limited</t>
  </si>
  <si>
    <t>19  PREPAID EXPENSES &amp; OTHER ASSETS</t>
  </si>
  <si>
    <t>Massy United Insurance Ltd.</t>
  </si>
  <si>
    <t>POLICY LIABILITIES AND RESERVES</t>
  </si>
  <si>
    <t>0_20days</t>
  </si>
  <si>
    <t>20_45days</t>
  </si>
  <si>
    <t>210  INSURANCE POLICY LIABILITIES</t>
  </si>
  <si>
    <t>211  INVESTMENT POLICY LIABILITIES</t>
  </si>
  <si>
    <t>212 OTHER ACTUARIAL LIABILITIES</t>
  </si>
  <si>
    <t xml:space="preserve">811201 Agents </t>
  </si>
  <si>
    <t xml:space="preserve">811202 Employees </t>
  </si>
  <si>
    <t xml:space="preserve">811203 Insurance Companies </t>
  </si>
  <si>
    <t xml:space="preserve">   81120301 Subrogated Balances</t>
  </si>
  <si>
    <t xml:space="preserve">   81120302 Premiums </t>
  </si>
  <si>
    <t xml:space="preserve">   81120303 Other</t>
  </si>
  <si>
    <t xml:space="preserve">811204 Brokers </t>
  </si>
  <si>
    <t xml:space="preserve">   81120401 Premiums </t>
  </si>
  <si>
    <t xml:space="preserve">   81120402 Other </t>
  </si>
  <si>
    <t>811205 Reinsurance Recoverable</t>
  </si>
  <si>
    <t xml:space="preserve">   81120501 Claims</t>
  </si>
  <si>
    <t xml:space="preserve">   81120502 Experience Refund</t>
  </si>
  <si>
    <t xml:space="preserve">   81120503 Commissions</t>
  </si>
  <si>
    <t>811206 Due from Related Parties</t>
  </si>
  <si>
    <t xml:space="preserve">   81120601 Subsidiaries</t>
  </si>
  <si>
    <t xml:space="preserve">   81120602 Affiliates &amp; Associates</t>
  </si>
  <si>
    <t xml:space="preserve">   81120603 Parent Company</t>
  </si>
  <si>
    <t>210. INSURANCE POLICY LIABILITIES</t>
  </si>
  <si>
    <t>21001 Long Term Business</t>
  </si>
  <si>
    <t xml:space="preserve">    2100201 Unearned Premium Reserve</t>
  </si>
  <si>
    <t xml:space="preserve">         210020101  Property</t>
  </si>
  <si>
    <t xml:space="preserve">         210020102  Motor Vehicle</t>
  </si>
  <si>
    <t xml:space="preserve">         210020103  Marine, Aviation and Transport</t>
  </si>
  <si>
    <t xml:space="preserve">    2100202 Unexpired Risk Reserve</t>
  </si>
  <si>
    <t xml:space="preserve">         210020201  Property</t>
  </si>
  <si>
    <t xml:space="preserve">         210020202  Motor Vehicle</t>
  </si>
  <si>
    <t xml:space="preserve">         210020203  Marine, Aviation and Transport</t>
  </si>
  <si>
    <t>21003 Claims admitted and intimated but not yet paid</t>
  </si>
  <si>
    <t xml:space="preserve">   2100301 Long Term Business</t>
  </si>
  <si>
    <t xml:space="preserve">        210030201  Property</t>
  </si>
  <si>
    <t xml:space="preserve">        210030202  Motor Vehicle</t>
  </si>
  <si>
    <t xml:space="preserve">        210030203  Marine, Aviation and Transport</t>
  </si>
  <si>
    <t>21004 Other Transfers to/ from Insurance Funds (Specify)</t>
  </si>
  <si>
    <t>210.TOTAL</t>
  </si>
  <si>
    <t>211. INVESTMENT POLICY LIABILITIES</t>
  </si>
  <si>
    <t xml:space="preserve">  21101 Inv. Contracts at Amortised Cost (Guaranteed Investment Bonds)</t>
  </si>
  <si>
    <t xml:space="preserve">       2110101  Over 1 to 2 Years</t>
  </si>
  <si>
    <t xml:space="preserve">       2110102  Over 2 to 3 Years</t>
  </si>
  <si>
    <t xml:space="preserve">       2110103  Over 3 to 5 Years</t>
  </si>
  <si>
    <t xml:space="preserve">       2110104  Over 5 Years</t>
  </si>
  <si>
    <t xml:space="preserve">  21102 Inv. Contracts at Fair Value through Income (Unit Linked)</t>
  </si>
  <si>
    <t xml:space="preserve">  21103 Total Investment contracts with DPF</t>
  </si>
  <si>
    <t xml:space="preserve">       2110301 Guaranteed element of Inv. Contracts with DPF</t>
  </si>
  <si>
    <t xml:space="preserve">       2110302 Discretionary Participation Feature (DPF)</t>
  </si>
  <si>
    <t>211.TOTAL</t>
  </si>
  <si>
    <t xml:space="preserve">  21104 Current Portion</t>
  </si>
  <si>
    <t xml:space="preserve">  21105 Non Current Portion</t>
  </si>
  <si>
    <t>212. OTHER ACTUARIAL LIABILITIES</t>
  </si>
  <si>
    <t xml:space="preserve">  21201 Premiums Received in Advance</t>
  </si>
  <si>
    <t xml:space="preserve">  21202 Policyholder Dividends, Due and Unpaid</t>
  </si>
  <si>
    <t xml:space="preserve">  21203 Outstanding Payments Under Settlement Annuities</t>
  </si>
  <si>
    <t xml:space="preserve">  21204 Provision for Experience Rating Refunds</t>
  </si>
  <si>
    <t xml:space="preserve">  21205 Policyholders' amounts on deposit</t>
  </si>
  <si>
    <t xml:space="preserve">  21206 Interest Accrued</t>
  </si>
  <si>
    <t xml:space="preserve">       2120601   Policyholders</t>
  </si>
  <si>
    <t xml:space="preserve">       2120602   Investment Contracts</t>
  </si>
  <si>
    <t xml:space="preserve">  21207 Other (Specify)</t>
  </si>
  <si>
    <t>212.TOTAL</t>
  </si>
  <si>
    <t>Deposit Administration Contracts</t>
  </si>
  <si>
    <t>Life - Individual - Non Par</t>
  </si>
  <si>
    <t>Life - Group - Non Par</t>
  </si>
  <si>
    <t>Annuities &amp; Pensions - Group -  Non Par</t>
  </si>
  <si>
    <t>Annuities &amp; Pensions - Individual - Non-Par</t>
  </si>
  <si>
    <t>Life - Investment Linked - Non-Par</t>
  </si>
  <si>
    <t>Life Surplus Account</t>
  </si>
  <si>
    <t>Participating</t>
  </si>
  <si>
    <t>Non-Participating</t>
  </si>
  <si>
    <t>Annuities &amp; Pensions - Investment Linked - Non-Par</t>
  </si>
  <si>
    <t>Accident &amp; Sickness - Accident - Non-Par</t>
  </si>
  <si>
    <t>Segregated Fund - Non-Par</t>
  </si>
  <si>
    <t>Industrial Life - Non-Par</t>
  </si>
  <si>
    <t>Life - Individual - Par</t>
  </si>
  <si>
    <t>Annnuities &amp; Pensions - Individual - Par</t>
  </si>
  <si>
    <t>8112 ACCOUNTS RECEIVABLE BALANCES</t>
  </si>
  <si>
    <t xml:space="preserve">  412   GROSS PREMIUM INCOME</t>
  </si>
  <si>
    <t>412. GROSS PREMIUM INCOME</t>
  </si>
  <si>
    <t>41201.   GROSS PREMIUM INCOME - NEW BUSINESS</t>
  </si>
  <si>
    <t>4120101 GPI - New Long Term Business</t>
  </si>
  <si>
    <t xml:space="preserve"> 412010201  Property</t>
  </si>
  <si>
    <t xml:space="preserve"> 412010202  Motor Vehicle</t>
  </si>
  <si>
    <t>41201. Total GPI from New Business</t>
  </si>
  <si>
    <t>41202.   GROSS PREMIUM INCOME - RENEWALS</t>
  </si>
  <si>
    <t>4120201 GPI - Long Term Business Renewals</t>
  </si>
  <si>
    <t xml:space="preserve"> 412020201  Property</t>
  </si>
  <si>
    <t xml:space="preserve"> 412020202  Motor Vehicle</t>
  </si>
  <si>
    <t>41202. Total GPI from Renewals</t>
  </si>
  <si>
    <t xml:space="preserve">  413  COMMISSION INCOME</t>
  </si>
  <si>
    <t xml:space="preserve">413.    COMMISSION INCOME </t>
  </si>
  <si>
    <t>41301 Total Commission Income on Long Term Business</t>
  </si>
  <si>
    <t xml:space="preserve"> 4130201  Property</t>
  </si>
  <si>
    <t xml:space="preserve"> 4130202  Motor Vehicle</t>
  </si>
  <si>
    <t>413. Total Commission Income</t>
  </si>
  <si>
    <t xml:space="preserve">  414   REINSURANCE RECOVERED ON CLAIMS</t>
  </si>
  <si>
    <t>414.  REINSURANCE RECOVERED ON CLAIMS</t>
  </si>
  <si>
    <t>41401 Reinsurance Recovered on Long Term Business</t>
  </si>
  <si>
    <t xml:space="preserve"> 4140201  Property</t>
  </si>
  <si>
    <t xml:space="preserve"> 4140202  Motor Vehicle</t>
  </si>
  <si>
    <t>414. Total Reinsurance Recovered</t>
  </si>
  <si>
    <t>412010101 Life - Individual - Non-Par</t>
  </si>
  <si>
    <t>412010102 Life - Group - Non-Par</t>
  </si>
  <si>
    <t>412010103 Life - Investment Linked - Non-Par</t>
  </si>
  <si>
    <t>412010106 Annuities &amp; Pensions - Investment Linked - Non-Par</t>
  </si>
  <si>
    <t>412010107 Deposit Administration Contracts</t>
  </si>
  <si>
    <t>412010108 Accident &amp; Sickness - Accident - Non-Par</t>
  </si>
  <si>
    <t>412010109 Accident &amp; Sickness - Individual Health - Non-Par</t>
  </si>
  <si>
    <t>412010110 Accident &amp; Sickness - Group Health - Non-Par</t>
  </si>
  <si>
    <t>412010111 Disability Income - Non-Par</t>
  </si>
  <si>
    <t>412010112 Segregated Fund - Non-Par</t>
  </si>
  <si>
    <t>412010113 Industrial Life - Non-Par</t>
  </si>
  <si>
    <t>412010114 Life - Individual - Par</t>
  </si>
  <si>
    <t>412010115 Annuities &amp; Pensions - Individual - Par</t>
  </si>
  <si>
    <t xml:space="preserve"> 412010203  Marine, Aviation and Transport</t>
  </si>
  <si>
    <t xml:space="preserve"> 412010204 Workers Compensation</t>
  </si>
  <si>
    <t xml:space="preserve"> 412010205 Pecuniary Loss</t>
  </si>
  <si>
    <t xml:space="preserve"> 412010206 Liability</t>
  </si>
  <si>
    <t xml:space="preserve"> 412010207 Personal Accident - Short Term</t>
  </si>
  <si>
    <t>412020101 Life - Individual - Non-Par</t>
  </si>
  <si>
    <t>412020102 Life - Group - Non-Par</t>
  </si>
  <si>
    <t>412020103 Life - Investment Linked - Non-Par</t>
  </si>
  <si>
    <t>412020106 Annuities &amp; Pensions - Investment Linked - Non-Par</t>
  </si>
  <si>
    <t>412020107 Deposit Administration Contracts</t>
  </si>
  <si>
    <t>412020108 Accident &amp; Sickness - Accident - Non-Par</t>
  </si>
  <si>
    <t>412020109 Accident &amp; Sickness - Individual Health - Non-Par</t>
  </si>
  <si>
    <t>412020110 Accident &amp; Sickness - Group Health - Non-Par</t>
  </si>
  <si>
    <t>412020111 Disability Income - Non-Par</t>
  </si>
  <si>
    <t>412020112 Segregated Fund - Non-Par</t>
  </si>
  <si>
    <t>412020113 Industrial Life - Non-Par</t>
  </si>
  <si>
    <t>412020114 Life - Individual - Par</t>
  </si>
  <si>
    <t>412020115 Annuities &amp; Pensions - Individual - Par</t>
  </si>
  <si>
    <t xml:space="preserve"> 412020203  Marine, Aviation and Transport</t>
  </si>
  <si>
    <t xml:space="preserve"> 412020204 Workers Compensation</t>
  </si>
  <si>
    <t xml:space="preserve"> 412020205 Pecuniary Loss</t>
  </si>
  <si>
    <t xml:space="preserve"> 412020206 Liability</t>
  </si>
  <si>
    <t xml:space="preserve"> 412020207 Personal Accident - Short Term</t>
  </si>
  <si>
    <t xml:space="preserve"> 4130203  Marine, Aviation and Transport</t>
  </si>
  <si>
    <t xml:space="preserve"> 4130204 Workers Compensation</t>
  </si>
  <si>
    <t xml:space="preserve"> 4130205 Pecuniary Loss</t>
  </si>
  <si>
    <t xml:space="preserve"> 4130206 Liability</t>
  </si>
  <si>
    <t xml:space="preserve"> 4130207 Personal Accident - Short Term</t>
  </si>
  <si>
    <t>4130101 Life - Individual - Non-Par</t>
  </si>
  <si>
    <t>4130102 Life - Group - Non-Par</t>
  </si>
  <si>
    <t>4130103 Life - Investment Linked - Non-Par</t>
  </si>
  <si>
    <t>4130106 Annuities &amp; Pensions - Investment Linked - Non-Par</t>
  </si>
  <si>
    <t>4130107 Deposit Administration Contracts</t>
  </si>
  <si>
    <t>4130108 Accident &amp; Sickness - Accident - Non-Par</t>
  </si>
  <si>
    <t>4130109 Accident &amp; Sickness - Individual Health - Non-Par</t>
  </si>
  <si>
    <t>4130110 Accident &amp; Sickness - Group Health - Non-Par</t>
  </si>
  <si>
    <t>4130111 Disability Income - Non-Par</t>
  </si>
  <si>
    <t>4130112 Segregated Fund - Non-Par</t>
  </si>
  <si>
    <t>4130113 Industrial Life - Non-Par</t>
  </si>
  <si>
    <t>4130114 Life - Individual - Par</t>
  </si>
  <si>
    <t>4130115 Annuities &amp; Pensions - Individual - Par</t>
  </si>
  <si>
    <t>4140101 Life - Individual - Non-Par</t>
  </si>
  <si>
    <t>4140102 Life - Group - Non-Par</t>
  </si>
  <si>
    <t>4140103 Life - Investment Linked - Non-Par</t>
  </si>
  <si>
    <t>4140106 Annuities &amp; Pensions - Investment Linked - Non-Par</t>
  </si>
  <si>
    <t>4140107 Deposit Administration Contracts</t>
  </si>
  <si>
    <t>4140108 Accident &amp; Sickness - Accident - Non-Par</t>
  </si>
  <si>
    <t>4140109 Accident &amp; Sickness - Individual Health - Non-Par</t>
  </si>
  <si>
    <t>4140110 Accident &amp; Sickness - Group Health - Non-Par</t>
  </si>
  <si>
    <t>4140111 Disability Income - Non-Par</t>
  </si>
  <si>
    <t>4140112 Segregated Fund - Non-Par</t>
  </si>
  <si>
    <t>4140113 Industrial Life - Non-Par</t>
  </si>
  <si>
    <t>4140114 Life - Individual - Par</t>
  </si>
  <si>
    <t>4140115 Annuities &amp; Pensions - Individual - Par</t>
  </si>
  <si>
    <t xml:space="preserve"> 4140203  Marine, Aviation and Transport</t>
  </si>
  <si>
    <t xml:space="preserve"> 4140204 Workers Compensation</t>
  </si>
  <si>
    <t xml:space="preserve"> 4140205 Pecuniary Loss</t>
  </si>
  <si>
    <t xml:space="preserve"> 4140206 Liability</t>
  </si>
  <si>
    <t xml:space="preserve"> 4140207 Personal Accident - Short Term</t>
  </si>
  <si>
    <t xml:space="preserve">  515  GROSS CLAIMS INCURRED</t>
  </si>
  <si>
    <t xml:space="preserve">515.   GROSS CLAIMS INCURRED </t>
  </si>
  <si>
    <t>51501 Total Long Term Gross Claims Incurred</t>
  </si>
  <si>
    <t xml:space="preserve"> 5150201  Property</t>
  </si>
  <si>
    <t xml:space="preserve"> 5150202  Motor Vehicle</t>
  </si>
  <si>
    <t>515. Total Gross Claims Incurred</t>
  </si>
  <si>
    <t>51503 Long Term Business</t>
  </si>
  <si>
    <t>5150301 Deaths</t>
  </si>
  <si>
    <t>5150302  Maturities</t>
  </si>
  <si>
    <t>5150303 Annuities</t>
  </si>
  <si>
    <t>5150304  Surrendered Policies</t>
  </si>
  <si>
    <t>5150305  Interim Bonuses</t>
  </si>
  <si>
    <t>5150306  Disability Claims</t>
  </si>
  <si>
    <t>5150307 Endowment Benefits</t>
  </si>
  <si>
    <t>5150308 Return of Premium</t>
  </si>
  <si>
    <t>5150309 Accident &amp; Sickness</t>
  </si>
  <si>
    <t>5150310 Withdrawals</t>
  </si>
  <si>
    <t>5150311 Other (specify in notes)</t>
  </si>
  <si>
    <t>51503 Total Long Term Gross Claims Incurred</t>
  </si>
  <si>
    <t xml:space="preserve">  516  REINSURANCE CEDED</t>
  </si>
  <si>
    <t>516.    REINSURANCE CEDED</t>
  </si>
  <si>
    <t>51601 Total Reinsurance Ceded on Long Term Business</t>
  </si>
  <si>
    <t>516. Total Reinsurance Ceded</t>
  </si>
  <si>
    <t xml:space="preserve">  517  COMMISSION EXPENSES</t>
  </si>
  <si>
    <t>517.    COMMISSION EXPENSE (GROSS)</t>
  </si>
  <si>
    <t>51701 Total Long Term Business</t>
  </si>
  <si>
    <t xml:space="preserve"> 5170201  Property</t>
  </si>
  <si>
    <t xml:space="preserve"> 5170202  Motor Vehicle</t>
  </si>
  <si>
    <t>517. Total Commission Expense (Gross)</t>
  </si>
  <si>
    <t xml:space="preserve">  518  OTHER ACQUISITION EXPENSES</t>
  </si>
  <si>
    <t>518. OTHER ACQUISITION EXPENSES (GROSS)</t>
  </si>
  <si>
    <t>51801 Total Long Term Business</t>
  </si>
  <si>
    <t xml:space="preserve"> 5180201  Property</t>
  </si>
  <si>
    <t xml:space="preserve"> 5180202  Motor Vehicle</t>
  </si>
  <si>
    <t>518 Total Other Acquisition Expenses (Gross)</t>
  </si>
  <si>
    <t>5150101 Life - Individual - Non-Par</t>
  </si>
  <si>
    <t>5150102 Life - Group - Non-Par</t>
  </si>
  <si>
    <t>5150103 Life - Investment Linked - Non-Par</t>
  </si>
  <si>
    <t>5150106 Annuities &amp; Pensions - Investment Linked - Non-Par</t>
  </si>
  <si>
    <t>5150107 Deposit Administration Contracts</t>
  </si>
  <si>
    <t>5150108 Accident &amp; Sickness - Accident - Non-Par</t>
  </si>
  <si>
    <t>5150109 Accident &amp; Sickness - Individual Health - Non-Par</t>
  </si>
  <si>
    <t>5150110 Accident &amp; Sickness - Group Health - Non-Par</t>
  </si>
  <si>
    <t>5150111 Disability Income - Non-Par</t>
  </si>
  <si>
    <t>5150112 Segregated Fund - Non-Par</t>
  </si>
  <si>
    <t>5150113 Industrial Life - Non-Par</t>
  </si>
  <si>
    <t>5150114 Life - Individual - Par</t>
  </si>
  <si>
    <t>5150115 Annuities &amp; Pensions - Individual - Par</t>
  </si>
  <si>
    <t xml:space="preserve"> 5150203  Marine, Aviation and Transport</t>
  </si>
  <si>
    <t xml:space="preserve"> 5150204 Workers Compensation</t>
  </si>
  <si>
    <t xml:space="preserve"> 5150205 Pecuniary Loss</t>
  </si>
  <si>
    <t xml:space="preserve"> 5150206 Liability</t>
  </si>
  <si>
    <t xml:space="preserve"> 5150207 Personal Accident - Short Term</t>
  </si>
  <si>
    <t>5160101 Life - Individual - Non-Par</t>
  </si>
  <si>
    <t>5160102 Life - Group - Non-Par</t>
  </si>
  <si>
    <t>5160103 Life - Investment Linked - Non-Par</t>
  </si>
  <si>
    <t>5160106 Annuities &amp; Pensions - Investment Linked - Non-Par</t>
  </si>
  <si>
    <t>5160107 Deposit Administration Contracts</t>
  </si>
  <si>
    <t>5160108 Accident &amp; Sickness - Accident - Non-Par</t>
  </si>
  <si>
    <t>5160109 Accident &amp; Sickness - Individual Health - Non-Par</t>
  </si>
  <si>
    <t>5160110 Accident &amp; Sickness - Group Health - Non-Par</t>
  </si>
  <si>
    <t>5160111 Disability Income - Non-Par</t>
  </si>
  <si>
    <t>5160112 Segregated Fund - Non-Par</t>
  </si>
  <si>
    <t>5160113 Industrial Life - Non-Par</t>
  </si>
  <si>
    <t>5160114 Life - Individual - Par</t>
  </si>
  <si>
    <t>5160115 Annuities &amp; Pensions - Individual - Par</t>
  </si>
  <si>
    <t>5170101 Life - Individual - Non-Par</t>
  </si>
  <si>
    <t>5170102 Life - Group - Non-Par</t>
  </si>
  <si>
    <t>5170103 Life - Investment Linked - Non-Par</t>
  </si>
  <si>
    <t>5170106 Annuities &amp; Pensions - Investment Linked - Non-Par</t>
  </si>
  <si>
    <t>5170107 Deposit Administration Contracts</t>
  </si>
  <si>
    <t>5170108 Accident &amp; Sickness - Accident - Non-Par</t>
  </si>
  <si>
    <t>5170109 Accident &amp; Sickness - Individual Health - Non-Par</t>
  </si>
  <si>
    <t>5170110 Accident &amp; Sickness - Group Health - Non-Par</t>
  </si>
  <si>
    <t>5170111 Disability Income - Non-Par</t>
  </si>
  <si>
    <t>5170112 Segregated Fund - Non-Par</t>
  </si>
  <si>
    <t>5170113 Industrial Life - Non-Par</t>
  </si>
  <si>
    <t>5170114 Life - Individual - Par</t>
  </si>
  <si>
    <t>5170115 Annuities &amp; Pensions - Individual - Par</t>
  </si>
  <si>
    <t>5180101 Life - Individual - Non-Par</t>
  </si>
  <si>
    <t>5180102 Life - Group - Non-Par</t>
  </si>
  <si>
    <t>5180103 Life - Investment Linked - Non-Par</t>
  </si>
  <si>
    <t>5180106 Annuities &amp; Pensions - Investment Linked - Non-Par</t>
  </si>
  <si>
    <t>5180107 Deposit Administration Contracts</t>
  </si>
  <si>
    <t>5180108 Accident &amp; Sickness - Accident - Non-Par</t>
  </si>
  <si>
    <t>5180109 Accident &amp; Sickness - Individual Health - Non-Par</t>
  </si>
  <si>
    <t>5180110 Accident &amp; Sickness - Group Health - Non-Par</t>
  </si>
  <si>
    <t>5180111 Disability Income - Non-Par</t>
  </si>
  <si>
    <t>5180112 Segregated Fund - Non-Par</t>
  </si>
  <si>
    <t>5180113 Industrial Life - Non-Par</t>
  </si>
  <si>
    <t>5180114 Life - Individual - Par</t>
  </si>
  <si>
    <t>5180115 Annuities &amp; Pensions - Individual - Par</t>
  </si>
  <si>
    <t xml:space="preserve"> 5160201  Property</t>
  </si>
  <si>
    <t xml:space="preserve"> 5160202  Motor Vehicle</t>
  </si>
  <si>
    <t xml:space="preserve"> 5160203  Marine, Aviation and Transport</t>
  </si>
  <si>
    <t xml:space="preserve"> 5160204 Workers Compensation</t>
  </si>
  <si>
    <t xml:space="preserve"> 5160205 Pecuniary Loss</t>
  </si>
  <si>
    <t xml:space="preserve"> 5160206 Liability</t>
  </si>
  <si>
    <t xml:space="preserve"> 5160207 Personal Accident - Short Term</t>
  </si>
  <si>
    <t xml:space="preserve"> 5170203  Marine, Aviation and Transport</t>
  </si>
  <si>
    <t xml:space="preserve"> 5170204 Workers Compensation</t>
  </si>
  <si>
    <t xml:space="preserve"> 5170205 Pecuniary Loss</t>
  </si>
  <si>
    <t xml:space="preserve"> 5170206 Liability</t>
  </si>
  <si>
    <t xml:space="preserve"> 5170207 Personal Accident - Short Term</t>
  </si>
  <si>
    <t xml:space="preserve"> 5180203  Marine, Aviation and Transport</t>
  </si>
  <si>
    <t xml:space="preserve"> 5180204 Workers Compensation</t>
  </si>
  <si>
    <t xml:space="preserve"> 5180205 Pecuniary Loss</t>
  </si>
  <si>
    <t xml:space="preserve"> 5180206 Liability</t>
  </si>
  <si>
    <t xml:space="preserve"> 5180207 Personal Accident - Short Term</t>
  </si>
  <si>
    <t>2100107 Deposit Administration Contracts</t>
  </si>
  <si>
    <t>2100108 Accident &amp; Sickness - Accident - Non-Par</t>
  </si>
  <si>
    <t>2100109 Accident &amp; Sickness - Individual Health - Non-Par</t>
  </si>
  <si>
    <t>2100110 Accident &amp; Sickness - Group Health - Non-Par</t>
  </si>
  <si>
    <t>2100111 Disability Income - Non-Par</t>
  </si>
  <si>
    <t>2100112 Segregated Fund - Non-Par</t>
  </si>
  <si>
    <t>2100113 Industrial Life - Non-Par</t>
  </si>
  <si>
    <t>2100114 Life - Individual - Par</t>
  </si>
  <si>
    <t>2100115 Annuities &amp; Pensions - Individual - Par</t>
  </si>
  <si>
    <t>2100101 Life - Individual - Non-Par</t>
  </si>
  <si>
    <t>2100102 Life - Group - Non-Par</t>
  </si>
  <si>
    <t>2100103 Life - Investment Linked - Non-Par</t>
  </si>
  <si>
    <t>2100106 Annuities &amp; Pensions - Investment Linked - Non-Par</t>
  </si>
  <si>
    <t xml:space="preserve">         210020104  Workers Compensation</t>
  </si>
  <si>
    <t xml:space="preserve">         210020105  Pecuniary Loss</t>
  </si>
  <si>
    <t xml:space="preserve">         210020106  Liability</t>
  </si>
  <si>
    <t xml:space="preserve">         210020107  Personal Accident - Short Term</t>
  </si>
  <si>
    <t xml:space="preserve">         210020204  Workers Compensation</t>
  </si>
  <si>
    <t xml:space="preserve">         210020205  Pecuniary Loss</t>
  </si>
  <si>
    <t xml:space="preserve">         210020206  Liability</t>
  </si>
  <si>
    <t xml:space="preserve">        210020207  Personal Accident - Short Term</t>
  </si>
  <si>
    <t xml:space="preserve">        210030204  Workers Compensation</t>
  </si>
  <si>
    <t xml:space="preserve">        210030205  Pecuniary Loss</t>
  </si>
  <si>
    <t xml:space="preserve">        210030206  Liability</t>
  </si>
  <si>
    <t xml:space="preserve">        210030207  Personal Accident - Short Term</t>
  </si>
  <si>
    <t xml:space="preserve">    2100116  Life Surplus Account</t>
  </si>
  <si>
    <t xml:space="preserve">        210011601  Participating</t>
  </si>
  <si>
    <t xml:space="preserve">        210011602  Non-Participating</t>
  </si>
  <si>
    <r>
      <t>Life - Individual - Non Par</t>
    </r>
    <r>
      <rPr>
        <sz val="10"/>
        <color rgb="FFFF0000"/>
        <rFont val="Times New Roman"/>
        <family val="1"/>
      </rPr>
      <t xml:space="preserve"> (as per CB20 account 2100101)</t>
    </r>
  </si>
  <si>
    <r>
      <t xml:space="preserve">Life - Group - Non Par  </t>
    </r>
    <r>
      <rPr>
        <sz val="10"/>
        <color rgb="FFFF0000"/>
        <rFont val="Times New Roman"/>
        <family val="1"/>
      </rPr>
      <t>(as per CB20 account 2100102)</t>
    </r>
  </si>
  <si>
    <r>
      <t xml:space="preserve">Life - Investment Linked - Non-Par </t>
    </r>
    <r>
      <rPr>
        <sz val="10"/>
        <color rgb="FFFF0000"/>
        <rFont val="Times New Roman"/>
        <family val="1"/>
      </rPr>
      <t>(as per CB20 account 2100103)</t>
    </r>
  </si>
  <si>
    <r>
      <t xml:space="preserve">Annuities &amp; Pensions - Group -  Non Par </t>
    </r>
    <r>
      <rPr>
        <sz val="10"/>
        <color rgb="FFFF0000"/>
        <rFont val="Times New Roman"/>
        <family val="1"/>
      </rPr>
      <t>(as per CB20 account 2100104)</t>
    </r>
  </si>
  <si>
    <r>
      <t xml:space="preserve">Annuities &amp; Pensions - Individual - Non-Par </t>
    </r>
    <r>
      <rPr>
        <sz val="10"/>
        <color rgb="FFFF0000"/>
        <rFont val="Times New Roman"/>
        <family val="1"/>
      </rPr>
      <t>(as per CB20 account 2100105)</t>
    </r>
  </si>
  <si>
    <r>
      <t xml:space="preserve">Annuities &amp; Pensions - Investment Linked - Non-Par </t>
    </r>
    <r>
      <rPr>
        <sz val="10"/>
        <color rgb="FFFF0000"/>
        <rFont val="Times New Roman"/>
        <family val="1"/>
      </rPr>
      <t>(as per CB20 account 2100106)</t>
    </r>
  </si>
  <si>
    <r>
      <t xml:space="preserve">Life Surplus Account </t>
    </r>
    <r>
      <rPr>
        <sz val="10"/>
        <color rgb="FFFF0000"/>
        <rFont val="Times New Roman"/>
        <family val="1"/>
      </rPr>
      <t>(as per CB20 account 2100116)</t>
    </r>
  </si>
  <si>
    <r>
      <t xml:space="preserve">Deposit Administration Contracts </t>
    </r>
    <r>
      <rPr>
        <sz val="10"/>
        <color rgb="FFFF0000"/>
        <rFont val="Times New Roman"/>
        <family val="1"/>
      </rPr>
      <t>(as per CB20 account 2100107)</t>
    </r>
  </si>
  <si>
    <r>
      <t xml:space="preserve">Accident &amp; Sickness - Accident - Non-Par </t>
    </r>
    <r>
      <rPr>
        <sz val="10"/>
        <color rgb="FFFF0000"/>
        <rFont val="Times New Roman"/>
        <family val="1"/>
      </rPr>
      <t>(as per CB20 account 2100108)</t>
    </r>
  </si>
  <si>
    <r>
      <t xml:space="preserve">Accident &amp; Sickness-Individual Health-Non-Par </t>
    </r>
    <r>
      <rPr>
        <sz val="10"/>
        <color rgb="FFFF0000"/>
        <rFont val="Times New Roman"/>
        <family val="1"/>
      </rPr>
      <t>(as per CB20 account 2100109)</t>
    </r>
  </si>
  <si>
    <r>
      <t>Accident &amp; Sickness-Group Health-Non-Par</t>
    </r>
    <r>
      <rPr>
        <sz val="10"/>
        <color rgb="FFFF0000"/>
        <rFont val="Times New Roman"/>
        <family val="1"/>
      </rPr>
      <t xml:space="preserve"> (as per CB20 account 2100110)</t>
    </r>
  </si>
  <si>
    <r>
      <t>Disability Income-Non Par</t>
    </r>
    <r>
      <rPr>
        <sz val="10"/>
        <color rgb="FFFF0000"/>
        <rFont val="Times New Roman"/>
        <family val="1"/>
      </rPr>
      <t xml:space="preserve"> (as per CB20 account 2100111)</t>
    </r>
  </si>
  <si>
    <r>
      <t>Segregated Fund - Non-Par</t>
    </r>
    <r>
      <rPr>
        <sz val="10"/>
        <color rgb="FFFF0000"/>
        <rFont val="Times New Roman"/>
        <family val="1"/>
      </rPr>
      <t xml:space="preserve"> (as per CB20 account 2100112)</t>
    </r>
  </si>
  <si>
    <r>
      <t xml:space="preserve">Industrial Life - Non-Par </t>
    </r>
    <r>
      <rPr>
        <sz val="10"/>
        <color rgb="FFFF0000"/>
        <rFont val="Times New Roman"/>
        <family val="1"/>
      </rPr>
      <t>(as per CB20 account 2100113)</t>
    </r>
  </si>
  <si>
    <r>
      <t xml:space="preserve">Life - Individual - Par </t>
    </r>
    <r>
      <rPr>
        <sz val="10"/>
        <color rgb="FFFF0000"/>
        <rFont val="Times New Roman"/>
        <family val="1"/>
      </rPr>
      <t>(as per CB20 account 2100114)</t>
    </r>
  </si>
  <si>
    <r>
      <t xml:space="preserve">Annuities &amp; Pensions - Individual - Par </t>
    </r>
    <r>
      <rPr>
        <sz val="10"/>
        <color rgb="FFFF0000"/>
        <rFont val="Times New Roman"/>
        <family val="1"/>
      </rPr>
      <t xml:space="preserve"> (as per CB20 account 2100115)</t>
    </r>
  </si>
  <si>
    <r>
      <t xml:space="preserve">Other Actuarial Liabilities  </t>
    </r>
    <r>
      <rPr>
        <sz val="10"/>
        <color rgb="FFFF0000"/>
        <rFont val="Times New Roman"/>
        <family val="1"/>
      </rPr>
      <t>(as per CB20 account 212)</t>
    </r>
  </si>
  <si>
    <r>
      <t>Investment Contracts</t>
    </r>
    <r>
      <rPr>
        <sz val="10"/>
        <color indexed="10"/>
        <rFont val="Times New Roman"/>
        <family val="1"/>
      </rPr>
      <t xml:space="preserve"> (as per CB20 account 211)</t>
    </r>
  </si>
  <si>
    <r>
      <t xml:space="preserve">Claims admitted and intimated but not paid </t>
    </r>
    <r>
      <rPr>
        <sz val="10"/>
        <color indexed="10"/>
        <rFont val="Times New Roman"/>
        <family val="1"/>
      </rPr>
      <t>(as per CB20 item 2100301 less CB20 item 171401)</t>
    </r>
  </si>
  <si>
    <t>412010104 Annuities &amp; Pensions - Individual - Non Par</t>
  </si>
  <si>
    <t>412010105 Annuities &amp; Pensions - Group - Non-Par</t>
  </si>
  <si>
    <t>412020104 Annuities &amp; Pensions - Individual - Non Par</t>
  </si>
  <si>
    <t>412020105 Annuities &amp; Pensions - Group - Non-Par</t>
  </si>
  <si>
    <t>4130104 Annuities &amp; Pensions - Individual - Non Par</t>
  </si>
  <si>
    <t>4130105 Annuities &amp; Pensions - Group - Non-Par</t>
  </si>
  <si>
    <t>4140104 Annuities &amp; Pensions - Individual - Non Par</t>
  </si>
  <si>
    <t>4140105 Annuities &amp; Pensions - Group - Non-Par</t>
  </si>
  <si>
    <t>5150104 Annuities &amp; Pensions - Individual - Non Par</t>
  </si>
  <si>
    <t>5150105 Annuities &amp; Pensions - Group - Non-Par</t>
  </si>
  <si>
    <t>5160104 Annuities &amp; Pensions - Individual - Non Par</t>
  </si>
  <si>
    <t>5160105 Annuities &amp; Pensions - Group - Non-Par</t>
  </si>
  <si>
    <t>5170104 Annuities &amp; Pensions - Individual - Non Par</t>
  </si>
  <si>
    <t>5170105 Annuities &amp; Pensions - Group - Non-Par</t>
  </si>
  <si>
    <t>5180104 Annuities &amp; Pensions - Individual - Non Par</t>
  </si>
  <si>
    <t>5180105 Annuities &amp; Pensions - Group - Non-Par</t>
  </si>
  <si>
    <t>2100104 Annuities &amp; Pensions - Individual - Non Par</t>
  </si>
  <si>
    <t>2100105 Annuities &amp; Pensions - Group - Non-Par</t>
  </si>
  <si>
    <t>Accident &amp; Sickness - Individual Health-Non-Par</t>
  </si>
  <si>
    <t>Accident &amp; Sickness - Group Health-Non-Par</t>
  </si>
  <si>
    <t>Disability Income - Non Par</t>
  </si>
  <si>
    <t>213  OTHER CURRENT LIABILITIES</t>
  </si>
  <si>
    <t>213. OTHER CURRENT LIABILITIES</t>
  </si>
  <si>
    <t xml:space="preserve"> 21302 Personnel</t>
  </si>
  <si>
    <t xml:space="preserve"> 21303 Profits/Dividends Payable</t>
  </si>
  <si>
    <t xml:space="preserve"> 21304 Taxation Payable</t>
  </si>
  <si>
    <t xml:space="preserve"> 21305 Accounts Payable</t>
  </si>
  <si>
    <t xml:space="preserve">       2130502 Agents and Salesmen  </t>
  </si>
  <si>
    <t xml:space="preserve">       2130503 Insurance Companies  </t>
  </si>
  <si>
    <t xml:space="preserve">       2130504 Brokers   </t>
  </si>
  <si>
    <t xml:space="preserve">       2130505 Reinsurance Payable</t>
  </si>
  <si>
    <t xml:space="preserve">       2130506 Other Accounts Payable (excl. Policyholders)</t>
  </si>
  <si>
    <t xml:space="preserve"> 21306 Interest Accrued</t>
  </si>
  <si>
    <t xml:space="preserve">       2130603   Borrowings</t>
  </si>
  <si>
    <t xml:space="preserve">       2130604   All Other Accounts (excl. Policyholders and Investment Contracts)</t>
  </si>
  <si>
    <t xml:space="preserve"> 21308 Items in Suspense</t>
  </si>
  <si>
    <t xml:space="preserve">       2130801 Unidentified Funds</t>
  </si>
  <si>
    <t xml:space="preserve">       2130802 Other</t>
  </si>
  <si>
    <t xml:space="preserve"> 21309 Money Market Operations</t>
  </si>
  <si>
    <t xml:space="preserve"> 21311 Other</t>
  </si>
  <si>
    <t xml:space="preserve"> 21312  Due to Related Parties</t>
  </si>
  <si>
    <t xml:space="preserve"> 21313  Unearned Commissions</t>
  </si>
  <si>
    <t xml:space="preserve"> 213. TOTAL</t>
  </si>
  <si>
    <t>3304 Catastrophe Reserve Fund</t>
  </si>
  <si>
    <r>
      <t xml:space="preserve">Unearned premium Reserves </t>
    </r>
    <r>
      <rPr>
        <sz val="10"/>
        <color indexed="10"/>
        <rFont val="Times New Roman"/>
        <family val="1"/>
      </rPr>
      <t>(as per CB20 item 210020102)</t>
    </r>
  </si>
  <si>
    <r>
      <t xml:space="preserve">Unexpired Risk Reserves </t>
    </r>
    <r>
      <rPr>
        <sz val="10"/>
        <color indexed="10"/>
        <rFont val="Times New Roman"/>
        <family val="1"/>
      </rPr>
      <t>(as per CB20 item 210020202)</t>
    </r>
  </si>
  <si>
    <r>
      <t xml:space="preserve">Estimated Liability for Outstanding claims </t>
    </r>
    <r>
      <rPr>
        <sz val="10"/>
        <color indexed="10"/>
        <rFont val="Times New Roman"/>
        <family val="1"/>
      </rPr>
      <t>(as per CB20 item 210030202 less CB20 item 171402)</t>
    </r>
  </si>
  <si>
    <t>0 -20 business days</t>
  </si>
  <si>
    <t>20 -45 business days</t>
  </si>
  <si>
    <t>45 -60 business days</t>
  </si>
  <si>
    <t>60 -120 business days</t>
  </si>
  <si>
    <t>Over 120 business days</t>
  </si>
  <si>
    <t>45_60days</t>
  </si>
  <si>
    <t>60_120days</t>
  </si>
  <si>
    <t>over_120days</t>
  </si>
  <si>
    <t>21002 General Business</t>
  </si>
  <si>
    <t xml:space="preserve">   2100302 General Business</t>
  </si>
  <si>
    <t>General Business</t>
  </si>
  <si>
    <t>4120102 GPI - New General Business</t>
  </si>
  <si>
    <t>4120202 GPI - General Business Renewals</t>
  </si>
  <si>
    <t>41302 Total Commission Income on General Business</t>
  </si>
  <si>
    <t>41402 Reinsurance Recovered on General Business</t>
  </si>
  <si>
    <t>51502 Total General Gross Claims Incurred</t>
  </si>
  <si>
    <t>51602 Total Reinsurance Ceded on General Business</t>
  </si>
  <si>
    <t>51702 Total General Business</t>
  </si>
  <si>
    <t>51802 Total General Business</t>
  </si>
  <si>
    <t>General Reserves</t>
  </si>
  <si>
    <t>Insurance Act 2018 Quarterly Returns, Version 5.1</t>
  </si>
  <si>
    <t>VERSION 5.1</t>
  </si>
  <si>
    <t>The New India Assurance Company (Trinidad and Tobago)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</si>
</sst>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mmmm\ d\,\ yyyy"/>
    <numFmt numFmtId="166" formatCode="[$-409]mmmm\ d\,\ yyyy;@"/>
    <numFmt numFmtId="167" formatCode="#,##0_);[Red]\-#,##0_)"/>
    <numFmt numFmtId="168" formatCode="0.0000_);[Red]\(0.0000_)"/>
    <numFmt numFmtId="169" formatCode="[Red]\-#,##0.00"/>
    <numFmt numFmtId="170" formatCode="0.0"/>
    <numFmt numFmtId="171" formatCode="[$-409]d\-mmm\-yyyy;@"/>
    <numFmt numFmtId="172" formatCode="yyyy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i/>
      <sz val="20"/>
      <name val="Arial"/>
      <family val="2"/>
    </font>
    <font>
      <sz val="10"/>
      <name val="MS Sans Serif"/>
      <family val="2"/>
    </font>
    <font>
      <b/>
      <i/>
      <sz val="10"/>
      <color indexed="16"/>
      <name val="TimesNewRomanPS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MS Sans Serif"/>
      <family val="2"/>
    </font>
    <font>
      <b/>
      <sz val="9"/>
      <color indexed="8"/>
      <name val="Tms Rmn"/>
    </font>
    <font>
      <sz val="8"/>
      <name val="Tms Rmn"/>
    </font>
    <font>
      <sz val="7"/>
      <name val="Tms Rmn"/>
    </font>
    <font>
      <b/>
      <sz val="8"/>
      <color indexed="8"/>
      <name val="Tms Rmn"/>
    </font>
    <font>
      <sz val="7"/>
      <color indexed="8"/>
      <name val="Tms Rmn"/>
    </font>
    <font>
      <b/>
      <sz val="9"/>
      <name val="Tms Rmn"/>
    </font>
    <font>
      <b/>
      <sz val="7"/>
      <name val="Tms Rmn"/>
    </font>
    <font>
      <b/>
      <sz val="8"/>
      <name val="Tms Rmn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6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u/>
      <sz val="10"/>
      <name val="Times New Roman"/>
      <family val="1"/>
    </font>
    <font>
      <sz val="10"/>
      <color indexed="13"/>
      <name val="Times New Roman"/>
      <family val="1"/>
    </font>
    <font>
      <sz val="7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color indexed="18"/>
      <name val="Arial"/>
      <family val="2"/>
    </font>
    <font>
      <u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" fontId="3" fillId="2" borderId="0"/>
    <xf numFmtId="167" fontId="4" fillId="2" borderId="1" applyAlignment="0"/>
    <xf numFmtId="1" fontId="4" fillId="0" borderId="2" applyBorder="0"/>
    <xf numFmtId="1" fontId="5" fillId="3" borderId="0"/>
    <xf numFmtId="1" fontId="5" fillId="4" borderId="0"/>
    <xf numFmtId="43" fontId="3" fillId="0" borderId="0" applyFont="0" applyFill="0" applyBorder="0" applyAlignment="0" applyProtection="0"/>
    <xf numFmtId="167" fontId="4" fillId="5" borderId="1"/>
    <xf numFmtId="167" fontId="6" fillId="5" borderId="1"/>
    <xf numFmtId="1" fontId="5" fillId="6" borderId="0"/>
    <xf numFmtId="1" fontId="7" fillId="7" borderId="0" applyNumberFormat="0" applyBorder="0" applyProtection="0"/>
    <xf numFmtId="168" fontId="7" fillId="8" borderId="1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9" borderId="0">
      <alignment horizontal="center" vertical="center"/>
    </xf>
    <xf numFmtId="0" fontId="4" fillId="4" borderId="3" applyBorder="0">
      <alignment horizontal="left"/>
    </xf>
    <xf numFmtId="167" fontId="7" fillId="8" borderId="1" applyAlignment="0">
      <protection locked="0"/>
    </xf>
    <xf numFmtId="167" fontId="6" fillId="8" borderId="1" applyAlignment="0">
      <protection locked="0"/>
    </xf>
    <xf numFmtId="49" fontId="4" fillId="10" borderId="0" applyBorder="0">
      <alignment horizontal="left"/>
      <protection locked="0"/>
    </xf>
    <xf numFmtId="169" fontId="7" fillId="6" borderId="1">
      <protection locked="0"/>
    </xf>
    <xf numFmtId="2" fontId="4" fillId="0" borderId="2"/>
    <xf numFmtId="1" fontId="5" fillId="5" borderId="1" applyNumberFormat="0"/>
    <xf numFmtId="0" fontId="10" fillId="0" borderId="0"/>
    <xf numFmtId="0" fontId="10" fillId="0" borderId="0"/>
    <xf numFmtId="0" fontId="48" fillId="0" borderId="0"/>
    <xf numFmtId="1" fontId="6" fillId="9" borderId="0" applyNumberFormat="0" applyFont="0" applyBorder="0" applyAlignment="0"/>
    <xf numFmtId="0" fontId="4" fillId="10" borderId="1" applyNumberFormat="0" applyAlignment="0">
      <alignment horizontal="left"/>
    </xf>
    <xf numFmtId="167" fontId="6" fillId="2" borderId="1" applyAlignment="0"/>
    <xf numFmtId="0" fontId="11" fillId="0" borderId="5" applyBorder="0" applyAlignment="0" applyProtection="0">
      <alignment horizontal="center"/>
    </xf>
    <xf numFmtId="49" fontId="12" fillId="0" borderId="0" applyFont="0" applyBorder="0" applyAlignment="0">
      <alignment horizontal="centerContinuous" vertical="center"/>
    </xf>
    <xf numFmtId="49" fontId="4" fillId="11" borderId="0">
      <protection locked="0"/>
    </xf>
    <xf numFmtId="167" fontId="6" fillId="2" borderId="6" applyAlignment="0"/>
    <xf numFmtId="1" fontId="6" fillId="0" borderId="0" applyNumberFormat="0" applyFont="0" applyBorder="0" applyAlignment="0">
      <protection locked="0"/>
    </xf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13" borderId="61" applyNumberFormat="0" applyFont="0" applyAlignment="0" applyProtection="0"/>
    <xf numFmtId="9" fontId="29" fillId="0" borderId="0" applyFont="0" applyFill="0" applyBorder="0" applyAlignment="0" applyProtection="0"/>
    <xf numFmtId="0" fontId="81" fillId="0" borderId="62" applyNumberFormat="0" applyFill="0" applyAlignment="0" applyProtection="0"/>
    <xf numFmtId="0" fontId="1" fillId="0" borderId="0"/>
    <xf numFmtId="0" fontId="3" fillId="0" borderId="0"/>
    <xf numFmtId="167" fontId="3" fillId="2" borderId="1" applyAlignment="0"/>
    <xf numFmtId="1" fontId="3" fillId="0" borderId="2" applyBorder="0"/>
    <xf numFmtId="167" fontId="3" fillId="5" borderId="1"/>
    <xf numFmtId="0" fontId="3" fillId="4" borderId="3" applyBorder="0">
      <alignment horizontal="left"/>
    </xf>
    <xf numFmtId="49" fontId="3" fillId="10" borderId="0" applyBorder="0">
      <alignment horizontal="left"/>
      <protection locked="0"/>
    </xf>
    <xf numFmtId="2" fontId="3" fillId="0" borderId="2"/>
    <xf numFmtId="0" fontId="3" fillId="10" borderId="1" applyNumberFormat="0" applyAlignment="0">
      <alignment horizontal="left"/>
    </xf>
    <xf numFmtId="49" fontId="3" fillId="11" borderId="0">
      <protection locked="0"/>
    </xf>
  </cellStyleXfs>
  <cellXfs count="840">
    <xf numFmtId="0" fontId="0" fillId="0" borderId="0" xfId="0"/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15" fillId="0" borderId="0" xfId="0" applyNumberFormat="1" applyFont="1" applyFill="1" applyBorder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Border="1" applyAlignment="1" applyProtection="1">
      <alignment horizontal="left"/>
    </xf>
    <xf numFmtId="0" fontId="0" fillId="0" borderId="0" xfId="0" applyFill="1"/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/>
    </xf>
    <xf numFmtId="3" fontId="15" fillId="0" borderId="7" xfId="0" applyNumberFormat="1" applyFont="1" applyFill="1" applyBorder="1"/>
    <xf numFmtId="3" fontId="15" fillId="0" borderId="0" xfId="0" applyNumberFormat="1" applyFont="1" applyFill="1"/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3" fontId="15" fillId="0" borderId="8" xfId="0" applyNumberFormat="1" applyFont="1" applyFill="1" applyBorder="1"/>
    <xf numFmtId="3" fontId="21" fillId="0" borderId="0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left" vertical="center"/>
    </xf>
    <xf numFmtId="3" fontId="15" fillId="0" borderId="9" xfId="0" applyNumberFormat="1" applyFont="1" applyFill="1" applyBorder="1"/>
    <xf numFmtId="0" fontId="0" fillId="0" borderId="0" xfId="0" applyFill="1" applyBorder="1"/>
    <xf numFmtId="0" fontId="24" fillId="0" borderId="0" xfId="0" applyFont="1" applyFill="1" applyBorder="1" applyAlignment="1" applyProtection="1">
      <alignment horizontal="left"/>
    </xf>
    <xf numFmtId="3" fontId="15" fillId="0" borderId="10" xfId="0" applyNumberFormat="1" applyFont="1" applyFill="1" applyBorder="1"/>
    <xf numFmtId="3" fontId="15" fillId="0" borderId="7" xfId="0" applyNumberFormat="1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3" fontId="15" fillId="0" borderId="11" xfId="0" applyNumberFormat="1" applyFont="1" applyFill="1" applyBorder="1" applyProtection="1"/>
    <xf numFmtId="0" fontId="21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left"/>
    </xf>
    <xf numFmtId="3" fontId="27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3" fontId="15" fillId="0" borderId="2" xfId="0" applyNumberFormat="1" applyFont="1" applyFill="1" applyBorder="1"/>
    <xf numFmtId="3" fontId="15" fillId="0" borderId="14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Protection="1"/>
    <xf numFmtId="3" fontId="23" fillId="0" borderId="0" xfId="0" applyNumberFormat="1" applyFont="1" applyFill="1" applyBorder="1" applyProtection="1"/>
    <xf numFmtId="3" fontId="22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ill="1" applyBorder="1"/>
    <xf numFmtId="3" fontId="0" fillId="0" borderId="0" xfId="0" applyNumberFormat="1" applyFill="1" applyBorder="1" applyProtection="1"/>
    <xf numFmtId="0" fontId="17" fillId="0" borderId="0" xfId="0" applyFont="1" applyFill="1" applyAlignment="1">
      <alignment horizontal="left"/>
    </xf>
    <xf numFmtId="0" fontId="29" fillId="0" borderId="0" xfId="0" quotePrefix="1" applyFont="1" applyFill="1" applyAlignment="1">
      <alignment horizontal="center"/>
    </xf>
    <xf numFmtId="0" fontId="30" fillId="0" borderId="0" xfId="0" applyFont="1" applyFill="1" applyBorder="1" applyAlignment="1" applyProtection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3" fontId="15" fillId="0" borderId="15" xfId="0" applyNumberFormat="1" applyFont="1" applyFill="1" applyBorder="1"/>
    <xf numFmtId="3" fontId="30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/>
    <xf numFmtId="0" fontId="14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/>
    <xf numFmtId="0" fontId="15" fillId="0" borderId="0" xfId="22" applyFont="1" applyFill="1" applyBorder="1" applyAlignment="1">
      <alignment horizontal="left"/>
    </xf>
    <xf numFmtId="3" fontId="15" fillId="0" borderId="16" xfId="0" applyNumberFormat="1" applyFont="1" applyFill="1" applyBorder="1"/>
    <xf numFmtId="3" fontId="15" fillId="0" borderId="9" xfId="0" applyNumberFormat="1" applyFont="1" applyFill="1" applyBorder="1" applyProtection="1"/>
    <xf numFmtId="0" fontId="15" fillId="0" borderId="17" xfId="0" applyFont="1" applyFill="1" applyBorder="1"/>
    <xf numFmtId="0" fontId="15" fillId="0" borderId="0" xfId="0" applyFont="1" applyFill="1" applyBorder="1" applyAlignment="1">
      <alignment horizontal="center"/>
    </xf>
    <xf numFmtId="3" fontId="15" fillId="0" borderId="18" xfId="0" applyNumberFormat="1" applyFont="1" applyFill="1" applyBorder="1" applyProtection="1"/>
    <xf numFmtId="3" fontId="15" fillId="0" borderId="8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/>
    </xf>
    <xf numFmtId="3" fontId="15" fillId="0" borderId="10" xfId="0" applyNumberFormat="1" applyFont="1" applyFill="1" applyBorder="1" applyProtection="1"/>
    <xf numFmtId="0" fontId="32" fillId="0" borderId="0" xfId="0" applyFont="1" applyFill="1" applyBorder="1"/>
    <xf numFmtId="0" fontId="8" fillId="0" borderId="0" xfId="12" applyFill="1" applyAlignment="1" applyProtection="1">
      <alignment horizontal="right"/>
    </xf>
    <xf numFmtId="3" fontId="15" fillId="0" borderId="0" xfId="0" applyNumberFormat="1" applyFont="1" applyFill="1" applyBorder="1" applyProtection="1"/>
    <xf numFmtId="3" fontId="14" fillId="0" borderId="0" xfId="0" applyNumberFormat="1" applyFont="1" applyFill="1" applyBorder="1"/>
    <xf numFmtId="1" fontId="14" fillId="0" borderId="0" xfId="0" applyNumberFormat="1" applyFont="1" applyFill="1" applyBorder="1"/>
    <xf numFmtId="1" fontId="14" fillId="0" borderId="17" xfId="0" applyNumberFormat="1" applyFont="1" applyFill="1" applyBorder="1"/>
    <xf numFmtId="49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33" fillId="0" borderId="16" xfId="0" quotePrefix="1" applyFont="1" applyFill="1" applyBorder="1" applyAlignment="1" applyProtection="1">
      <alignment horizontal="centerContinuous"/>
      <protection locked="0"/>
    </xf>
    <xf numFmtId="0" fontId="0" fillId="0" borderId="16" xfId="0" applyFill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/>
    <xf numFmtId="0" fontId="33" fillId="0" borderId="16" xfId="0" applyFont="1" applyFill="1" applyBorder="1" applyAlignment="1" applyProtection="1">
      <alignment horizontal="centerContinuous"/>
      <protection locked="0"/>
    </xf>
    <xf numFmtId="0" fontId="20" fillId="0" borderId="16" xfId="0" applyFont="1" applyFill="1" applyBorder="1" applyAlignment="1">
      <alignment horizontal="centerContinuous"/>
    </xf>
    <xf numFmtId="0" fontId="20" fillId="0" borderId="16" xfId="0" applyFont="1" applyFill="1" applyBorder="1"/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16" xfId="0" quotePrefix="1" applyFont="1" applyFill="1" applyBorder="1" applyAlignment="1" applyProtection="1">
      <alignment horizontal="centerContinuous"/>
      <protection locked="0"/>
    </xf>
    <xf numFmtId="165" fontId="19" fillId="0" borderId="16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17" fillId="0" borderId="0" xfId="0" applyFont="1" applyFill="1" applyProtection="1"/>
    <xf numFmtId="1" fontId="38" fillId="0" borderId="0" xfId="0" applyNumberFormat="1" applyFont="1" applyFill="1"/>
    <xf numFmtId="1" fontId="38" fillId="0" borderId="0" xfId="0" applyNumberFormat="1" applyFont="1" applyFill="1" applyAlignment="1">
      <alignment horizontal="center"/>
    </xf>
    <xf numFmtId="0" fontId="17" fillId="0" borderId="0" xfId="0" applyFont="1" applyFill="1"/>
    <xf numFmtId="0" fontId="38" fillId="0" borderId="0" xfId="0" applyFont="1" applyFill="1"/>
    <xf numFmtId="1" fontId="39" fillId="0" borderId="0" xfId="0" applyNumberFormat="1" applyFont="1" applyFill="1" applyBorder="1" applyProtection="1"/>
    <xf numFmtId="1" fontId="40" fillId="0" borderId="0" xfId="0" applyNumberFormat="1" applyFont="1" applyFill="1" applyBorder="1" applyAlignment="1" applyProtection="1">
      <alignment horizontal="center"/>
    </xf>
    <xf numFmtId="1" fontId="41" fillId="0" borderId="0" xfId="0" applyNumberFormat="1" applyFont="1" applyFill="1" applyBorder="1" applyProtection="1"/>
    <xf numFmtId="0" fontId="39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left"/>
    </xf>
    <xf numFmtId="1" fontId="45" fillId="0" borderId="1" xfId="0" quotePrefix="1" applyNumberFormat="1" applyFont="1" applyFill="1" applyBorder="1" applyAlignment="1" applyProtection="1">
      <alignment horizontal="center" wrapText="1"/>
    </xf>
    <xf numFmtId="1" fontId="45" fillId="0" borderId="1" xfId="0" applyNumberFormat="1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left"/>
    </xf>
    <xf numFmtId="1" fontId="45" fillId="0" borderId="7" xfId="0" applyNumberFormat="1" applyFont="1" applyFill="1" applyBorder="1" applyProtection="1"/>
    <xf numFmtId="37" fontId="39" fillId="0" borderId="7" xfId="0" applyNumberFormat="1" applyFont="1" applyFill="1" applyBorder="1" applyProtection="1"/>
    <xf numFmtId="37" fontId="39" fillId="0" borderId="0" xfId="0" applyNumberFormat="1" applyFont="1" applyFill="1" applyBorder="1" applyProtection="1"/>
    <xf numFmtId="37" fontId="45" fillId="0" borderId="7" xfId="0" applyNumberFormat="1" applyFont="1" applyFill="1" applyBorder="1" applyProtection="1"/>
    <xf numFmtId="37" fontId="39" fillId="0" borderId="10" xfId="0" applyNumberFormat="1" applyFont="1" applyFill="1" applyBorder="1" applyProtection="1"/>
    <xf numFmtId="37" fontId="39" fillId="0" borderId="2" xfId="0" applyNumberFormat="1" applyFont="1" applyFill="1" applyBorder="1" applyProtection="1"/>
    <xf numFmtId="37" fontId="45" fillId="0" borderId="0" xfId="0" applyNumberFormat="1" applyFont="1" applyFill="1" applyBorder="1" applyProtection="1"/>
    <xf numFmtId="1" fontId="45" fillId="0" borderId="8" xfId="0" applyNumberFormat="1" applyFont="1" applyFill="1" applyBorder="1" applyProtection="1"/>
    <xf numFmtId="37" fontId="39" fillId="0" borderId="0" xfId="6" applyNumberFormat="1" applyFont="1" applyFill="1" applyBorder="1" applyProtection="1"/>
    <xf numFmtId="1" fontId="46" fillId="0" borderId="9" xfId="0" applyNumberFormat="1" applyFont="1" applyFill="1" applyBorder="1" applyProtection="1"/>
    <xf numFmtId="37" fontId="46" fillId="0" borderId="9" xfId="0" applyNumberFormat="1" applyFont="1" applyFill="1" applyBorder="1" applyProtection="1"/>
    <xf numFmtId="1" fontId="46" fillId="0" borderId="0" xfId="0" applyNumberFormat="1" applyFont="1" applyFill="1" applyBorder="1" applyProtection="1"/>
    <xf numFmtId="1" fontId="39" fillId="0" borderId="0" xfId="0" applyNumberFormat="1" applyFont="1" applyFill="1" applyBorder="1" applyAlignment="1" applyProtection="1">
      <alignment horizontal="right"/>
    </xf>
    <xf numFmtId="37" fontId="39" fillId="0" borderId="7" xfId="0" applyNumberFormat="1" applyFont="1" applyFill="1" applyBorder="1" applyAlignment="1" applyProtection="1">
      <alignment horizontal="right"/>
    </xf>
    <xf numFmtId="37" fontId="45" fillId="0" borderId="10" xfId="0" applyNumberFormat="1" applyFont="1" applyFill="1" applyBorder="1" applyProtection="1"/>
    <xf numFmtId="37" fontId="45" fillId="0" borderId="10" xfId="6" applyNumberFormat="1" applyFont="1" applyFill="1" applyBorder="1" applyProtection="1"/>
    <xf numFmtId="37" fontId="45" fillId="0" borderId="2" xfId="0" applyNumberFormat="1" applyFont="1" applyFill="1" applyBorder="1" applyProtection="1"/>
    <xf numFmtId="37" fontId="17" fillId="0" borderId="9" xfId="6" applyNumberFormat="1" applyFont="1" applyFill="1" applyBorder="1" applyProtection="1"/>
    <xf numFmtId="37" fontId="29" fillId="0" borderId="0" xfId="0" applyNumberFormat="1" applyFont="1" applyFill="1" applyBorder="1" applyProtection="1"/>
    <xf numFmtId="1" fontId="46" fillId="0" borderId="0" xfId="0" quotePrefix="1" applyNumberFormat="1" applyFont="1" applyFill="1" applyBorder="1" applyAlignment="1" applyProtection="1">
      <alignment horizontal="right" vertical="center"/>
    </xf>
    <xf numFmtId="1" fontId="47" fillId="0" borderId="19" xfId="0" applyNumberFormat="1" applyFont="1" applyFill="1" applyBorder="1" applyAlignment="1">
      <alignment horizontal="centerContinuous" vertical="center"/>
    </xf>
    <xf numFmtId="1" fontId="38" fillId="0" borderId="20" xfId="0" applyNumberFormat="1" applyFont="1" applyFill="1" applyBorder="1" applyAlignment="1">
      <alignment horizontal="centerContinuous"/>
    </xf>
    <xf numFmtId="1" fontId="38" fillId="0" borderId="19" xfId="0" applyNumberFormat="1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/>
    <xf numFmtId="37" fontId="45" fillId="0" borderId="21" xfId="6" applyNumberFormat="1" applyFont="1" applyFill="1" applyBorder="1" applyProtection="1"/>
    <xf numFmtId="37" fontId="48" fillId="0" borderId="0" xfId="0" applyNumberFormat="1" applyFont="1" applyFill="1" applyBorder="1" applyProtection="1"/>
    <xf numFmtId="37" fontId="39" fillId="0" borderId="14" xfId="0" applyNumberFormat="1" applyFont="1" applyFill="1" applyBorder="1" applyProtection="1"/>
    <xf numFmtId="37" fontId="39" fillId="0" borderId="22" xfId="0" applyNumberFormat="1" applyFont="1" applyFill="1" applyBorder="1" applyProtection="1"/>
    <xf numFmtId="37" fontId="39" fillId="0" borderId="22" xfId="0" quotePrefix="1" applyNumberFormat="1" applyFont="1" applyFill="1" applyBorder="1" applyAlignment="1" applyProtection="1">
      <alignment horizontal="centerContinuous"/>
    </xf>
    <xf numFmtId="37" fontId="39" fillId="0" borderId="23" xfId="0" applyNumberFormat="1" applyFont="1" applyFill="1" applyBorder="1" applyProtection="1"/>
    <xf numFmtId="37" fontId="39" fillId="0" borderId="23" xfId="0" quotePrefix="1" applyNumberFormat="1" applyFont="1" applyFill="1" applyBorder="1" applyAlignment="1" applyProtection="1">
      <alignment horizontal="centerContinuous"/>
    </xf>
    <xf numFmtId="37" fontId="39" fillId="0" borderId="18" xfId="0" applyNumberFormat="1" applyFont="1" applyFill="1" applyBorder="1" applyProtection="1"/>
    <xf numFmtId="37" fontId="39" fillId="0" borderId="24" xfId="0" quotePrefix="1" applyNumberFormat="1" applyFont="1" applyFill="1" applyBorder="1" applyAlignment="1" applyProtection="1">
      <alignment horizontal="centerContinuous"/>
    </xf>
    <xf numFmtId="37" fontId="39" fillId="0" borderId="25" xfId="0" quotePrefix="1" applyNumberFormat="1" applyFont="1" applyFill="1" applyBorder="1" applyAlignment="1" applyProtection="1">
      <alignment horizontal="centerContinuous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horizontal="left" vertical="top" wrapText="1"/>
    </xf>
    <xf numFmtId="37" fontId="39" fillId="0" borderId="10" xfId="0" quotePrefix="1" applyNumberFormat="1" applyFont="1" applyFill="1" applyBorder="1" applyAlignment="1" applyProtection="1">
      <alignment horizontal="centerContinuous"/>
    </xf>
    <xf numFmtId="37" fontId="39" fillId="0" borderId="21" xfId="0" applyNumberFormat="1" applyFont="1" applyFill="1" applyBorder="1" applyProtection="1"/>
    <xf numFmtId="37" fontId="45" fillId="0" borderId="22" xfId="0" applyNumberFormat="1" applyFont="1" applyFill="1" applyBorder="1" applyProtection="1"/>
    <xf numFmtId="37" fontId="45" fillId="0" borderId="26" xfId="0" applyNumberFormat="1" applyFont="1" applyFill="1" applyBorder="1" applyProtection="1"/>
    <xf numFmtId="3" fontId="38" fillId="0" borderId="0" xfId="0" applyNumberFormat="1" applyFont="1" applyFill="1" applyBorder="1"/>
    <xf numFmtId="37" fontId="39" fillId="0" borderId="7" xfId="0" quotePrefix="1" applyNumberFormat="1" applyFont="1" applyFill="1" applyBorder="1" applyAlignment="1" applyProtection="1">
      <alignment horizontal="centerContinuous"/>
    </xf>
    <xf numFmtId="37" fontId="39" fillId="0" borderId="0" xfId="0" quotePrefix="1" applyNumberFormat="1" applyFont="1" applyFill="1" applyBorder="1" applyAlignment="1" applyProtection="1">
      <alignment horizontal="centerContinuous"/>
    </xf>
    <xf numFmtId="37" fontId="45" fillId="0" borderId="9" xfId="0" applyNumberFormat="1" applyFont="1" applyFill="1" applyBorder="1" applyProtection="1"/>
    <xf numFmtId="0" fontId="38" fillId="0" borderId="0" xfId="0" applyFont="1" applyFill="1" applyBorder="1" applyAlignment="1">
      <alignment vertical="center"/>
    </xf>
    <xf numFmtId="1" fontId="38" fillId="0" borderId="0" xfId="0" applyNumberFormat="1" applyFont="1" applyFill="1" applyBorder="1" applyAlignment="1">
      <alignment vertical="center"/>
    </xf>
    <xf numFmtId="1" fontId="37" fillId="0" borderId="0" xfId="0" quotePrefix="1" applyNumberFormat="1" applyFont="1" applyFill="1" applyBorder="1" applyAlignment="1">
      <alignment horizontal="right" vertical="center"/>
    </xf>
    <xf numFmtId="1" fontId="42" fillId="0" borderId="2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Protection="1"/>
    <xf numFmtId="3" fontId="3" fillId="0" borderId="0" xfId="0" applyNumberFormat="1" applyFont="1" applyFill="1" applyBorder="1"/>
    <xf numFmtId="3" fontId="38" fillId="0" borderId="9" xfId="0" applyNumberFormat="1" applyFont="1" applyFill="1" applyBorder="1"/>
    <xf numFmtId="0" fontId="3" fillId="0" borderId="0" xfId="0" applyFont="1" applyFill="1" applyBorder="1"/>
    <xf numFmtId="1" fontId="37" fillId="0" borderId="0" xfId="0" applyNumberFormat="1" applyFont="1" applyFill="1" applyBorder="1" applyAlignment="1">
      <alignment horizontal="left" vertical="top"/>
    </xf>
    <xf numFmtId="1" fontId="47" fillId="0" borderId="0" xfId="0" applyNumberFormat="1" applyFont="1" applyFill="1" applyBorder="1" applyAlignment="1">
      <alignment horizontal="centerContinuous" vertical="center"/>
    </xf>
    <xf numFmtId="1" fontId="37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/>
    <xf numFmtId="0" fontId="49" fillId="0" borderId="0" xfId="0" applyFont="1" applyFill="1" applyBorder="1"/>
    <xf numFmtId="1" fontId="38" fillId="0" borderId="17" xfId="0" applyNumberFormat="1" applyFont="1" applyFill="1" applyBorder="1" applyAlignment="1">
      <alignment horizontal="center" vertical="center" wrapText="1"/>
    </xf>
    <xf numFmtId="1" fontId="38" fillId="0" borderId="28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/>
    <xf numFmtId="3" fontId="38" fillId="0" borderId="22" xfId="0" applyNumberFormat="1" applyFont="1" applyFill="1" applyBorder="1"/>
    <xf numFmtId="3" fontId="38" fillId="0" borderId="2" xfId="0" applyNumberFormat="1" applyFont="1" applyFill="1" applyBorder="1"/>
    <xf numFmtId="3" fontId="38" fillId="0" borderId="7" xfId="0" applyNumberFormat="1" applyFont="1" applyFill="1" applyBorder="1"/>
    <xf numFmtId="3" fontId="38" fillId="0" borderId="23" xfId="0" applyNumberFormat="1" applyFont="1" applyFill="1" applyBorder="1"/>
    <xf numFmtId="3" fontId="38" fillId="0" borderId="0" xfId="0" applyNumberFormat="1" applyFont="1" applyFill="1"/>
    <xf numFmtId="3" fontId="38" fillId="0" borderId="29" xfId="0" applyNumberFormat="1" applyFont="1" applyFill="1" applyBorder="1" applyAlignment="1">
      <alignment vertical="center"/>
    </xf>
    <xf numFmtId="3" fontId="38" fillId="0" borderId="2" xfId="0" applyNumberFormat="1" applyFont="1" applyFill="1" applyBorder="1" applyAlignment="1">
      <alignment vertical="center"/>
    </xf>
    <xf numFmtId="3" fontId="38" fillId="0" borderId="22" xfId="0" applyNumberFormat="1" applyFont="1" applyFill="1" applyBorder="1" applyAlignment="1">
      <alignment vertical="center"/>
    </xf>
    <xf numFmtId="3" fontId="38" fillId="0" borderId="30" xfId="0" applyNumberFormat="1" applyFont="1" applyFill="1" applyBorder="1" applyAlignment="1">
      <alignment vertical="center"/>
    </xf>
    <xf numFmtId="3" fontId="38" fillId="0" borderId="31" xfId="0" applyNumberFormat="1" applyFont="1" applyFill="1" applyBorder="1" applyAlignment="1">
      <alignment vertical="center"/>
    </xf>
    <xf numFmtId="3" fontId="38" fillId="0" borderId="32" xfId="0" applyNumberFormat="1" applyFont="1" applyFill="1" applyBorder="1" applyAlignment="1">
      <alignment vertical="center"/>
    </xf>
    <xf numFmtId="3" fontId="38" fillId="0" borderId="33" xfId="0" applyNumberFormat="1" applyFont="1" applyFill="1" applyBorder="1"/>
    <xf numFmtId="3" fontId="38" fillId="0" borderId="33" xfId="0" quotePrefix="1" applyNumberFormat="1" applyFont="1" applyFill="1" applyBorder="1" applyAlignment="1">
      <alignment horizontal="centerContinuous"/>
    </xf>
    <xf numFmtId="3" fontId="38" fillId="0" borderId="10" xfId="0" quotePrefix="1" applyNumberFormat="1" applyFont="1" applyFill="1" applyBorder="1" applyAlignment="1">
      <alignment horizontal="centerContinuous"/>
    </xf>
    <xf numFmtId="3" fontId="38" fillId="0" borderId="29" xfId="0" applyNumberFormat="1" applyFont="1" applyFill="1" applyBorder="1" applyProtection="1"/>
    <xf numFmtId="3" fontId="38" fillId="0" borderId="29" xfId="0" applyNumberFormat="1" applyFont="1" applyFill="1" applyBorder="1"/>
    <xf numFmtId="3" fontId="38" fillId="0" borderId="34" xfId="0" applyNumberFormat="1" applyFont="1" applyFill="1" applyBorder="1" applyProtection="1"/>
    <xf numFmtId="3" fontId="38" fillId="0" borderId="14" xfId="0" applyNumberFormat="1" applyFont="1" applyFill="1" applyBorder="1" applyProtection="1"/>
    <xf numFmtId="3" fontId="38" fillId="0" borderId="2" xfId="0" applyNumberFormat="1" applyFont="1" applyFill="1" applyBorder="1" applyProtection="1"/>
    <xf numFmtId="3" fontId="38" fillId="0" borderId="2" xfId="0" quotePrefix="1" applyNumberFormat="1" applyFont="1" applyFill="1" applyBorder="1" applyAlignment="1">
      <alignment horizontal="centerContinuous"/>
    </xf>
    <xf numFmtId="0" fontId="38" fillId="0" borderId="0" xfId="0" applyFont="1" applyFill="1" applyBorder="1" applyAlignment="1"/>
    <xf numFmtId="3" fontId="38" fillId="0" borderId="7" xfId="0" applyNumberFormat="1" applyFont="1" applyFill="1" applyBorder="1" applyProtection="1"/>
    <xf numFmtId="3" fontId="29" fillId="0" borderId="21" xfId="0" applyNumberFormat="1" applyFont="1" applyFill="1" applyBorder="1"/>
    <xf numFmtId="3" fontId="29" fillId="0" borderId="2" xfId="0" applyNumberFormat="1" applyFont="1" applyFill="1" applyBorder="1"/>
    <xf numFmtId="3" fontId="38" fillId="0" borderId="10" xfId="0" applyNumberFormat="1" applyFont="1" applyFill="1" applyBorder="1" applyProtection="1"/>
    <xf numFmtId="3" fontId="38" fillId="0" borderId="7" xfId="0" quotePrefix="1" applyNumberFormat="1" applyFont="1" applyFill="1" applyBorder="1" applyAlignment="1">
      <alignment horizontal="centerContinuous"/>
    </xf>
    <xf numFmtId="3" fontId="3" fillId="0" borderId="7" xfId="0" applyNumberFormat="1" applyFont="1" applyFill="1" applyBorder="1" applyProtection="1"/>
    <xf numFmtId="3" fontId="38" fillId="0" borderId="14" xfId="0" applyNumberFormat="1" applyFont="1" applyFill="1" applyBorder="1"/>
    <xf numFmtId="0" fontId="29" fillId="0" borderId="0" xfId="0" applyFont="1" applyFill="1" applyAlignment="1">
      <alignment horizontal="left"/>
    </xf>
    <xf numFmtId="0" fontId="3" fillId="0" borderId="0" xfId="0" applyFont="1" applyFill="1"/>
    <xf numFmtId="3" fontId="38" fillId="0" borderId="16" xfId="0" applyNumberFormat="1" applyFont="1" applyFill="1" applyBorder="1"/>
    <xf numFmtId="3" fontId="38" fillId="0" borderId="0" xfId="0" applyNumberFormat="1" applyFont="1" applyFill="1" applyBorder="1" applyProtection="1"/>
    <xf numFmtId="3" fontId="29" fillId="0" borderId="9" xfId="0" applyNumberFormat="1" applyFont="1" applyFill="1" applyBorder="1"/>
    <xf numFmtId="3" fontId="29" fillId="0" borderId="0" xfId="0" applyNumberFormat="1" applyFont="1" applyFill="1" applyBorder="1"/>
    <xf numFmtId="1" fontId="38" fillId="0" borderId="0" xfId="0" applyNumberFormat="1" applyFont="1" applyFill="1" applyBorder="1"/>
    <xf numFmtId="1" fontId="49" fillId="0" borderId="0" xfId="0" applyNumberFormat="1" applyFont="1" applyFill="1" applyBorder="1"/>
    <xf numFmtId="1" fontId="3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3" fontId="38" fillId="0" borderId="29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3" fontId="38" fillId="0" borderId="14" xfId="0" applyNumberFormat="1" applyFont="1" applyFill="1" applyBorder="1" applyAlignment="1">
      <alignment horizontal="right"/>
    </xf>
    <xf numFmtId="3" fontId="38" fillId="0" borderId="14" xfId="0" applyNumberFormat="1" applyFont="1" applyFill="1" applyBorder="1" applyAlignment="1" applyProtection="1">
      <alignment horizontal="right"/>
    </xf>
    <xf numFmtId="3" fontId="38" fillId="0" borderId="23" xfId="0" applyNumberFormat="1" applyFont="1" applyFill="1" applyBorder="1" applyAlignment="1">
      <alignment horizontal="right"/>
    </xf>
    <xf numFmtId="0" fontId="29" fillId="0" borderId="0" xfId="0" applyFont="1" applyFill="1" applyBorder="1"/>
    <xf numFmtId="3" fontId="38" fillId="0" borderId="18" xfId="0" applyNumberFormat="1" applyFont="1" applyFill="1" applyBorder="1" applyAlignment="1">
      <alignment horizontal="right"/>
    </xf>
    <xf numFmtId="3" fontId="38" fillId="0" borderId="7" xfId="0" applyNumberFormat="1" applyFont="1" applyFill="1" applyBorder="1" applyAlignment="1">
      <alignment horizontal="right"/>
    </xf>
    <xf numFmtId="3" fontId="38" fillId="0" borderId="9" xfId="0" applyNumberFormat="1" applyFont="1" applyFill="1" applyBorder="1" applyAlignment="1">
      <alignment horizontal="right"/>
    </xf>
    <xf numFmtId="1" fontId="38" fillId="0" borderId="0" xfId="0" applyNumberFormat="1" applyFont="1" applyFill="1" applyBorder="1" applyAlignment="1">
      <alignment horizontal="right"/>
    </xf>
    <xf numFmtId="3" fontId="29" fillId="0" borderId="27" xfId="0" applyNumberFormat="1" applyFont="1" applyFill="1" applyBorder="1" applyAlignment="1">
      <alignment horizontal="right"/>
    </xf>
    <xf numFmtId="3" fontId="29" fillId="0" borderId="27" xfId="0" applyNumberFormat="1" applyFont="1" applyFill="1" applyBorder="1" applyAlignment="1" applyProtection="1">
      <alignment horizontal="right"/>
    </xf>
    <xf numFmtId="3" fontId="29" fillId="0" borderId="0" xfId="0" applyNumberFormat="1" applyFont="1" applyFill="1" applyBorder="1" applyAlignment="1" applyProtection="1">
      <alignment horizontal="right"/>
    </xf>
    <xf numFmtId="3" fontId="29" fillId="0" borderId="7" xfId="0" applyNumberFormat="1" applyFont="1" applyFill="1" applyBorder="1" applyAlignment="1">
      <alignment horizontal="right"/>
    </xf>
    <xf numFmtId="3" fontId="29" fillId="0" borderId="9" xfId="6" applyNumberFormat="1" applyFont="1" applyFill="1" applyBorder="1" applyAlignment="1">
      <alignment horizontal="right"/>
    </xf>
    <xf numFmtId="3" fontId="29" fillId="0" borderId="0" xfId="6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/>
    <xf numFmtId="1" fontId="29" fillId="0" borderId="0" xfId="0" applyNumberFormat="1" applyFont="1" applyFill="1"/>
    <xf numFmtId="164" fontId="38" fillId="0" borderId="0" xfId="0" applyNumberFormat="1" applyFont="1" applyFill="1" applyBorder="1" applyAlignment="1" applyProtection="1">
      <alignment horizontal="left"/>
    </xf>
    <xf numFmtId="0" fontId="38" fillId="0" borderId="0" xfId="0" quotePrefix="1" applyFont="1" applyFill="1" applyBorder="1" applyAlignment="1">
      <alignment horizontal="left"/>
    </xf>
    <xf numFmtId="0" fontId="37" fillId="0" borderId="0" xfId="0" quotePrefix="1" applyFont="1" applyFill="1" applyBorder="1" applyAlignment="1">
      <alignment vertical="top" wrapText="1"/>
    </xf>
    <xf numFmtId="0" fontId="51" fillId="0" borderId="0" xfId="0" applyFont="1" applyFill="1" applyBorder="1"/>
    <xf numFmtId="0" fontId="37" fillId="0" borderId="0" xfId="0" quotePrefix="1" applyFont="1" applyFill="1" applyBorder="1" applyAlignment="1">
      <alignment horizontal="left"/>
    </xf>
    <xf numFmtId="3" fontId="38" fillId="0" borderId="10" xfId="0" applyNumberFormat="1" applyFont="1" applyFill="1" applyBorder="1"/>
    <xf numFmtId="3" fontId="38" fillId="0" borderId="11" xfId="0" applyNumberFormat="1" applyFont="1" applyFill="1" applyBorder="1"/>
    <xf numFmtId="0" fontId="0" fillId="0" borderId="11" xfId="0" applyFill="1" applyBorder="1"/>
    <xf numFmtId="3" fontId="0" fillId="0" borderId="11" xfId="0" applyNumberFormat="1" applyFill="1" applyBorder="1"/>
    <xf numFmtId="0" fontId="52" fillId="0" borderId="0" xfId="0" applyFont="1" applyFill="1" applyBorder="1" applyAlignment="1">
      <alignment horizontal="left"/>
    </xf>
    <xf numFmtId="1" fontId="39" fillId="0" borderId="11" xfId="0" applyNumberFormat="1" applyFont="1" applyFill="1" applyBorder="1" applyProtection="1"/>
    <xf numFmtId="1" fontId="45" fillId="0" borderId="11" xfId="0" applyNumberFormat="1" applyFont="1" applyFill="1" applyBorder="1" applyProtection="1"/>
    <xf numFmtId="3" fontId="38" fillId="0" borderId="35" xfId="0" applyNumberFormat="1" applyFont="1" applyFill="1" applyBorder="1"/>
    <xf numFmtId="0" fontId="0" fillId="0" borderId="35" xfId="0" applyFill="1" applyBorder="1"/>
    <xf numFmtId="3" fontId="0" fillId="0" borderId="35" xfId="0" applyNumberFormat="1" applyFill="1" applyBorder="1"/>
    <xf numFmtId="0" fontId="38" fillId="0" borderId="35" xfId="0" applyFont="1" applyFill="1" applyBorder="1"/>
    <xf numFmtId="0" fontId="38" fillId="0" borderId="0" xfId="0" quotePrefix="1" applyFont="1" applyFill="1" applyBorder="1" applyAlignment="1">
      <alignment horizontal="left" wrapText="1"/>
    </xf>
    <xf numFmtId="1" fontId="38" fillId="0" borderId="36" xfId="0" applyNumberFormat="1" applyFont="1" applyFill="1" applyBorder="1"/>
    <xf numFmtId="1" fontId="38" fillId="0" borderId="1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/>
    <xf numFmtId="3" fontId="54" fillId="0" borderId="0" xfId="0" applyNumberFormat="1" applyFont="1" applyFill="1" applyBorder="1"/>
    <xf numFmtId="3" fontId="38" fillId="0" borderId="11" xfId="0" applyNumberFormat="1" applyFont="1" applyFill="1" applyBorder="1" applyAlignment="1">
      <alignment horizontal="right"/>
    </xf>
    <xf numFmtId="3" fontId="54" fillId="0" borderId="0" xfId="6" applyNumberFormat="1" applyFont="1" applyFill="1" applyBorder="1"/>
    <xf numFmtId="3" fontId="29" fillId="0" borderId="10" xfId="0" applyNumberFormat="1" applyFont="1" applyFill="1" applyBorder="1"/>
    <xf numFmtId="3" fontId="54" fillId="0" borderId="0" xfId="0" applyNumberFormat="1" applyFont="1" applyFill="1" applyBorder="1" applyAlignment="1">
      <alignment horizontal="right"/>
    </xf>
    <xf numFmtId="0" fontId="38" fillId="0" borderId="0" xfId="0" quotePrefix="1" applyFont="1" applyFill="1" applyBorder="1" applyAlignment="1">
      <alignment horizontal="left" vertical="top"/>
    </xf>
    <xf numFmtId="3" fontId="38" fillId="0" borderId="15" xfId="0" applyNumberFormat="1" applyFont="1" applyFill="1" applyBorder="1"/>
    <xf numFmtId="1" fontId="17" fillId="0" borderId="0" xfId="6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 applyProtection="1">
      <alignment horizontal="right"/>
    </xf>
    <xf numFmtId="3" fontId="29" fillId="0" borderId="10" xfId="0" applyNumberFormat="1" applyFont="1" applyFill="1" applyBorder="1" applyAlignment="1">
      <alignment horizontal="right"/>
    </xf>
    <xf numFmtId="1" fontId="16" fillId="0" borderId="0" xfId="0" applyNumberFormat="1" applyFont="1" applyFill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0" fontId="38" fillId="0" borderId="0" xfId="0" applyFont="1" applyFill="1" applyBorder="1" applyAlignment="1">
      <alignment horizontal="centerContinuous"/>
    </xf>
    <xf numFmtId="1" fontId="38" fillId="0" borderId="0" xfId="0" applyNumberFormat="1" applyFont="1" applyFill="1" applyBorder="1" applyAlignment="1">
      <alignment horizontal="centerContinuous"/>
    </xf>
    <xf numFmtId="1" fontId="37" fillId="0" borderId="0" xfId="0" quotePrefix="1" applyNumberFormat="1" applyFont="1" applyFill="1" applyBorder="1" applyAlignment="1">
      <alignment horizontal="centerContinuous"/>
    </xf>
    <xf numFmtId="1" fontId="51" fillId="0" borderId="0" xfId="0" applyNumberFormat="1" applyFont="1" applyFill="1" applyBorder="1"/>
    <xf numFmtId="1" fontId="34" fillId="0" borderId="0" xfId="0" quotePrefix="1" applyNumberFormat="1" applyFont="1" applyFill="1" applyBorder="1" applyAlignment="1">
      <alignment horizontal="centerContinuous"/>
    </xf>
    <xf numFmtId="0" fontId="37" fillId="0" borderId="0" xfId="0" applyFont="1" applyFill="1" applyBorder="1" applyAlignment="1">
      <alignment horizontal="left" vertical="center"/>
    </xf>
    <xf numFmtId="3" fontId="38" fillId="0" borderId="22" xfId="0" applyNumberFormat="1" applyFont="1" applyFill="1" applyBorder="1" applyAlignment="1"/>
    <xf numFmtId="3" fontId="38" fillId="0" borderId="0" xfId="0" applyNumberFormat="1" applyFont="1" applyFill="1" applyBorder="1" applyAlignment="1">
      <alignment horizontal="centerContinuous"/>
    </xf>
    <xf numFmtId="3" fontId="38" fillId="0" borderId="10" xfId="0" applyNumberFormat="1" applyFont="1" applyFill="1" applyBorder="1" applyAlignment="1"/>
    <xf numFmtId="3" fontId="38" fillId="0" borderId="7" xfId="0" applyNumberFormat="1" applyFont="1" applyFill="1" applyBorder="1" applyAlignment="1"/>
    <xf numFmtId="3" fontId="38" fillId="0" borderId="14" xfId="0" applyNumberFormat="1" applyFont="1" applyFill="1" applyBorder="1" applyAlignment="1"/>
    <xf numFmtId="3" fontId="38" fillId="0" borderId="14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Continuous"/>
    </xf>
    <xf numFmtId="3" fontId="38" fillId="0" borderId="2" xfId="0" applyNumberFormat="1" applyFont="1" applyFill="1" applyBorder="1" applyAlignment="1"/>
    <xf numFmtId="3" fontId="38" fillId="0" borderId="21" xfId="0" applyNumberFormat="1" applyFont="1" applyFill="1" applyBorder="1" applyAlignment="1"/>
    <xf numFmtId="3" fontId="38" fillId="0" borderId="10" xfId="0" applyNumberFormat="1" applyFont="1" applyFill="1" applyBorder="1" applyAlignment="1" applyProtection="1"/>
    <xf numFmtId="0" fontId="29" fillId="0" borderId="0" xfId="22" applyFont="1" applyFill="1" applyBorder="1" applyAlignment="1">
      <alignment horizontal="left"/>
    </xf>
    <xf numFmtId="3" fontId="29" fillId="0" borderId="14" xfId="0" applyNumberFormat="1" applyFont="1" applyFill="1" applyBorder="1" applyAlignment="1"/>
    <xf numFmtId="3" fontId="17" fillId="0" borderId="0" xfId="0" applyNumberFormat="1" applyFont="1" applyFill="1" applyBorder="1" applyAlignment="1">
      <alignment horizontal="centerContinuous"/>
    </xf>
    <xf numFmtId="3" fontId="29" fillId="0" borderId="14" xfId="0" applyNumberFormat="1" applyFont="1" applyFill="1" applyBorder="1" applyAlignment="1" applyProtection="1"/>
    <xf numFmtId="3" fontId="29" fillId="0" borderId="0" xfId="0" applyNumberFormat="1" applyFont="1" applyFill="1" applyBorder="1" applyAlignment="1">
      <alignment horizontal="centerContinuous"/>
    </xf>
    <xf numFmtId="3" fontId="29" fillId="0" borderId="2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38" fillId="0" borderId="9" xfId="0" applyNumberFormat="1" applyFont="1" applyFill="1" applyBorder="1" applyAlignment="1"/>
    <xf numFmtId="0" fontId="17" fillId="0" borderId="0" xfId="0" applyFont="1" applyFill="1" applyBorder="1" applyAlignment="1">
      <alignment horizontal="centerContinuous"/>
    </xf>
    <xf numFmtId="1" fontId="38" fillId="0" borderId="0" xfId="0" applyNumberFormat="1" applyFont="1" applyFill="1" applyBorder="1" applyAlignment="1"/>
    <xf numFmtId="1" fontId="38" fillId="0" borderId="37" xfId="0" applyNumberFormat="1" applyFont="1" applyFill="1" applyBorder="1"/>
    <xf numFmtId="1" fontId="38" fillId="0" borderId="16" xfId="0" applyNumberFormat="1" applyFont="1" applyFill="1" applyBorder="1" applyAlignment="1">
      <alignment horizontal="centerContinuous"/>
    </xf>
    <xf numFmtId="0" fontId="29" fillId="0" borderId="0" xfId="0" quotePrefix="1" applyFont="1" applyFill="1" applyBorder="1" applyAlignment="1">
      <alignment vertical="center" wrapText="1"/>
    </xf>
    <xf numFmtId="1" fontId="45" fillId="0" borderId="10" xfId="0" applyNumberFormat="1" applyFont="1" applyFill="1" applyBorder="1" applyProtection="1"/>
    <xf numFmtId="0" fontId="29" fillId="0" borderId="0" xfId="0" applyFont="1" applyFill="1" applyBorder="1" applyAlignment="1">
      <alignment horizontal="left" vertical="center"/>
    </xf>
    <xf numFmtId="1" fontId="45" fillId="0" borderId="14" xfId="0" applyNumberFormat="1" applyFont="1" applyFill="1" applyBorder="1" applyProtection="1"/>
    <xf numFmtId="1" fontId="39" fillId="0" borderId="14" xfId="0" applyNumberFormat="1" applyFont="1" applyFill="1" applyBorder="1" applyProtection="1"/>
    <xf numFmtId="0" fontId="29" fillId="0" borderId="0" xfId="0" quotePrefix="1" applyFont="1" applyFill="1" applyBorder="1" applyAlignment="1">
      <alignment horizontal="left" vertical="center"/>
    </xf>
    <xf numFmtId="1" fontId="45" fillId="0" borderId="9" xfId="0" applyNumberFormat="1" applyFont="1" applyFill="1" applyBorder="1" applyProtection="1"/>
    <xf numFmtId="1" fontId="39" fillId="0" borderId="9" xfId="0" applyNumberFormat="1" applyFont="1" applyFill="1" applyBorder="1" applyProtection="1"/>
    <xf numFmtId="0" fontId="52" fillId="0" borderId="0" xfId="0" applyFont="1" applyFill="1" applyBorder="1" applyAlignment="1">
      <alignment horizontal="left" vertical="center"/>
    </xf>
    <xf numFmtId="1" fontId="29" fillId="0" borderId="37" xfId="0" applyNumberFormat="1" applyFont="1" applyFill="1" applyBorder="1" applyAlignment="1"/>
    <xf numFmtId="1" fontId="55" fillId="0" borderId="37" xfId="0" applyNumberFormat="1" applyFont="1" applyFill="1" applyBorder="1" applyAlignment="1">
      <alignment vertical="center" wrapText="1"/>
    </xf>
    <xf numFmtId="1" fontId="29" fillId="0" borderId="37" xfId="0" applyNumberFormat="1" applyFont="1" applyFill="1" applyBorder="1" applyAlignment="1">
      <alignment vertical="center"/>
    </xf>
    <xf numFmtId="1" fontId="39" fillId="0" borderId="7" xfId="0" applyNumberFormat="1" applyFont="1" applyFill="1" applyBorder="1" applyProtection="1"/>
    <xf numFmtId="0" fontId="51" fillId="0" borderId="0" xfId="0" applyFont="1" applyFill="1" applyBorder="1" applyProtection="1"/>
    <xf numFmtId="1" fontId="47" fillId="0" borderId="19" xfId="0" applyNumberFormat="1" applyFont="1" applyFill="1" applyBorder="1" applyAlignment="1" applyProtection="1">
      <alignment horizontal="centerContinuous" vertical="center"/>
    </xf>
    <xf numFmtId="1" fontId="38" fillId="0" borderId="20" xfId="0" applyNumberFormat="1" applyFont="1" applyFill="1" applyBorder="1" applyAlignment="1" applyProtection="1">
      <alignment horizontal="centerContinuous"/>
    </xf>
    <xf numFmtId="1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/>
    </xf>
    <xf numFmtId="37" fontId="38" fillId="0" borderId="14" xfId="0" applyNumberFormat="1" applyFont="1" applyFill="1" applyBorder="1" applyProtection="1"/>
    <xf numFmtId="37" fontId="38" fillId="0" borderId="0" xfId="0" applyNumberFormat="1" applyFont="1" applyFill="1" applyBorder="1" applyProtection="1"/>
    <xf numFmtId="37" fontId="38" fillId="0" borderId="10" xfId="0" applyNumberFormat="1" applyFont="1" applyFill="1" applyBorder="1" applyProtection="1"/>
    <xf numFmtId="37" fontId="38" fillId="0" borderId="7" xfId="0" applyNumberFormat="1" applyFont="1" applyFill="1" applyBorder="1" applyProtection="1"/>
    <xf numFmtId="164" fontId="38" fillId="0" borderId="0" xfId="0" applyNumberFormat="1" applyFont="1" applyFill="1" applyBorder="1" applyAlignment="1" applyProtection="1">
      <alignment horizontal="left" vertical="top"/>
    </xf>
    <xf numFmtId="37" fontId="38" fillId="0" borderId="2" xfId="0" applyNumberFormat="1" applyFont="1" applyFill="1" applyBorder="1" applyProtection="1"/>
    <xf numFmtId="0" fontId="37" fillId="0" borderId="0" xfId="0" applyFont="1" applyFill="1" applyBorder="1" applyAlignment="1" applyProtection="1">
      <alignment horizontal="left"/>
    </xf>
    <xf numFmtId="37" fontId="29" fillId="0" borderId="1" xfId="0" applyNumberFormat="1" applyFont="1" applyFill="1" applyBorder="1" applyAlignment="1" applyProtection="1">
      <alignment horizontal="right"/>
    </xf>
    <xf numFmtId="37" fontId="29" fillId="0" borderId="0" xfId="0" applyNumberFormat="1" applyFont="1" applyFill="1" applyBorder="1" applyAlignment="1" applyProtection="1">
      <alignment horizontal="right"/>
    </xf>
    <xf numFmtId="1" fontId="29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1" fontId="38" fillId="0" borderId="0" xfId="0" applyNumberFormat="1" applyFont="1" applyFill="1" applyBorder="1" applyProtection="1"/>
    <xf numFmtId="0" fontId="38" fillId="0" borderId="0" xfId="0" quotePrefix="1" applyFont="1" applyFill="1" applyBorder="1" applyAlignment="1" applyProtection="1">
      <alignment horizontal="left"/>
    </xf>
    <xf numFmtId="0" fontId="29" fillId="0" borderId="0" xfId="0" applyFont="1" applyFill="1" applyAlignment="1" applyProtection="1">
      <alignment horizontal="left"/>
    </xf>
    <xf numFmtId="37" fontId="45" fillId="0" borderId="0" xfId="6" applyNumberFormat="1" applyFont="1" applyFill="1" applyBorder="1" applyProtection="1"/>
    <xf numFmtId="37" fontId="29" fillId="0" borderId="1" xfId="6" applyNumberFormat="1" applyFont="1" applyFill="1" applyBorder="1" applyAlignment="1" applyProtection="1">
      <alignment horizontal="right"/>
    </xf>
    <xf numFmtId="37" fontId="29" fillId="0" borderId="0" xfId="6" applyNumberFormat="1" applyFont="1" applyFill="1" applyBorder="1" applyAlignment="1" applyProtection="1">
      <alignment horizontal="right"/>
    </xf>
    <xf numFmtId="1" fontId="29" fillId="0" borderId="0" xfId="6" applyNumberFormat="1" applyFont="1" applyFill="1" applyBorder="1" applyAlignment="1" applyProtection="1">
      <alignment horizontal="right"/>
    </xf>
    <xf numFmtId="0" fontId="38" fillId="0" borderId="0" xfId="0" applyFont="1" applyFill="1" applyProtection="1"/>
    <xf numFmtId="37" fontId="38" fillId="0" borderId="7" xfId="0" applyNumberFormat="1" applyFont="1" applyFill="1" applyBorder="1" applyAlignment="1" applyProtection="1">
      <alignment vertical="top"/>
    </xf>
    <xf numFmtId="37" fontId="38" fillId="0" borderId="14" xfId="0" applyNumberFormat="1" applyFont="1" applyFill="1" applyBorder="1" applyAlignment="1" applyProtection="1">
      <alignment vertical="top"/>
    </xf>
    <xf numFmtId="37" fontId="0" fillId="0" borderId="0" xfId="0" applyNumberFormat="1" applyFill="1" applyBorder="1" applyProtection="1"/>
    <xf numFmtId="37" fontId="0" fillId="0" borderId="14" xfId="0" applyNumberFormat="1" applyFill="1" applyBorder="1" applyProtection="1"/>
    <xf numFmtId="37" fontId="38" fillId="0" borderId="10" xfId="0" applyNumberFormat="1" applyFont="1" applyFill="1" applyBorder="1" applyAlignment="1" applyProtection="1">
      <alignment vertical="top"/>
    </xf>
    <xf numFmtId="37" fontId="38" fillId="0" borderId="0" xfId="0" applyNumberFormat="1" applyFont="1" applyFill="1" applyBorder="1" applyAlignment="1" applyProtection="1">
      <alignment vertical="top"/>
    </xf>
    <xf numFmtId="0" fontId="53" fillId="0" borderId="0" xfId="0" applyFont="1" applyFill="1" applyBorder="1"/>
    <xf numFmtId="0" fontId="37" fillId="0" borderId="0" xfId="0" applyFont="1" applyFill="1" applyBorder="1" applyAlignment="1"/>
    <xf numFmtId="3" fontId="38" fillId="0" borderId="1" xfId="0" applyNumberFormat="1" applyFont="1" applyFill="1" applyBorder="1" applyAlignment="1">
      <alignment horizontal="right"/>
    </xf>
    <xf numFmtId="3" fontId="49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right"/>
    </xf>
    <xf numFmtId="1" fontId="56" fillId="0" borderId="0" xfId="0" applyNumberFormat="1" applyFont="1" applyFill="1" applyBorder="1" applyAlignment="1">
      <alignment horizontal="centerContinuous" vertical="center"/>
    </xf>
    <xf numFmtId="1" fontId="32" fillId="0" borderId="0" xfId="0" applyNumberFormat="1" applyFont="1" applyFill="1" applyBorder="1" applyAlignment="1">
      <alignment horizontal="centerContinuous"/>
    </xf>
    <xf numFmtId="3" fontId="47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left" wrapText="1"/>
    </xf>
    <xf numFmtId="3" fontId="38" fillId="0" borderId="0" xfId="0" applyNumberFormat="1" applyFont="1" applyFill="1" applyBorder="1" applyAlignment="1"/>
    <xf numFmtId="3" fontId="49" fillId="0" borderId="0" xfId="0" applyNumberFormat="1" applyFont="1" applyFill="1" applyBorder="1" applyAlignment="1"/>
    <xf numFmtId="0" fontId="45" fillId="0" borderId="0" xfId="0" applyFont="1" applyFill="1" applyBorder="1" applyAlignment="1">
      <alignment horizontal="left" vertical="top"/>
    </xf>
    <xf numFmtId="3" fontId="38" fillId="0" borderId="33" xfId="0" applyNumberFormat="1" applyFont="1" applyFill="1" applyBorder="1" applyAlignment="1"/>
    <xf numFmtId="164" fontId="29" fillId="0" borderId="0" xfId="0" applyNumberFormat="1" applyFont="1" applyFill="1" applyBorder="1" applyAlignment="1" applyProtection="1">
      <alignment horizontal="left"/>
    </xf>
    <xf numFmtId="3" fontId="37" fillId="0" borderId="35" xfId="0" applyNumberFormat="1" applyFont="1" applyFill="1" applyBorder="1" applyAlignment="1">
      <alignment horizontal="left"/>
    </xf>
    <xf numFmtId="3" fontId="38" fillId="0" borderId="7" xfId="0" applyNumberFormat="1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left"/>
    </xf>
    <xf numFmtId="0" fontId="32" fillId="0" borderId="0" xfId="0" quotePrefix="1" applyFont="1" applyFill="1" applyBorder="1" applyAlignment="1">
      <alignment horizontal="left"/>
    </xf>
    <xf numFmtId="1" fontId="53" fillId="0" borderId="0" xfId="0" applyNumberFormat="1" applyFont="1" applyFill="1" applyBorder="1" applyProtection="1"/>
    <xf numFmtId="1" fontId="57" fillId="0" borderId="0" xfId="0" applyNumberFormat="1" applyFont="1" applyFill="1" applyBorder="1"/>
    <xf numFmtId="1" fontId="59" fillId="0" borderId="27" xfId="0" applyNumberFormat="1" applyFont="1" applyFill="1" applyBorder="1" applyAlignment="1">
      <alignment horizontal="centerContinuous" wrapText="1"/>
    </xf>
    <xf numFmtId="1" fontId="59" fillId="0" borderId="27" xfId="0" applyNumberFormat="1" applyFont="1" applyFill="1" applyBorder="1" applyAlignment="1">
      <alignment horizontal="centerContinuous" vertical="top" wrapText="1"/>
    </xf>
    <xf numFmtId="0" fontId="29" fillId="0" borderId="0" xfId="0" applyFont="1" applyFill="1" applyBorder="1" applyAlignment="1"/>
    <xf numFmtId="3" fontId="29" fillId="0" borderId="1" xfId="0" applyNumberFormat="1" applyFont="1" applyFill="1" applyBorder="1"/>
    <xf numFmtId="0" fontId="50" fillId="0" borderId="0" xfId="0" applyFont="1" applyFill="1" applyBorder="1"/>
    <xf numFmtId="1" fontId="53" fillId="0" borderId="0" xfId="0" applyNumberFormat="1" applyFont="1" applyFill="1" applyBorder="1"/>
    <xf numFmtId="1" fontId="53" fillId="0" borderId="0" xfId="0" applyNumberFormat="1" applyFont="1" applyFill="1"/>
    <xf numFmtId="0" fontId="37" fillId="0" borderId="0" xfId="0" quotePrefix="1" applyFont="1" applyFill="1" applyBorder="1" applyAlignment="1">
      <alignment horizontal="left" vertical="center"/>
    </xf>
    <xf numFmtId="1" fontId="29" fillId="0" borderId="27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3" fontId="29" fillId="0" borderId="18" xfId="0" applyNumberFormat="1" applyFont="1" applyFill="1" applyBorder="1" applyProtection="1"/>
    <xf numFmtId="3" fontId="29" fillId="0" borderId="2" xfId="0" applyNumberFormat="1" applyFont="1" applyFill="1" applyBorder="1" applyProtection="1"/>
    <xf numFmtId="0" fontId="32" fillId="0" borderId="0" xfId="0" applyFont="1" applyFill="1" applyBorder="1" applyAlignment="1">
      <alignment horizontal="right"/>
    </xf>
    <xf numFmtId="1" fontId="38" fillId="0" borderId="23" xfId="0" applyNumberFormat="1" applyFont="1" applyFill="1" applyBorder="1"/>
    <xf numFmtId="1" fontId="2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1" fontId="34" fillId="0" borderId="0" xfId="0" applyNumberFormat="1" applyFont="1" applyFill="1" applyBorder="1"/>
    <xf numFmtId="1" fontId="42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/>
    <xf numFmtId="3" fontId="60" fillId="0" borderId="0" xfId="0" applyNumberFormat="1" applyFont="1" applyFill="1" applyBorder="1" applyAlignment="1"/>
    <xf numFmtId="0" fontId="39" fillId="0" borderId="0" xfId="0" applyFont="1" applyFill="1"/>
    <xf numFmtId="3" fontId="60" fillId="0" borderId="0" xfId="0" applyNumberFormat="1" applyFont="1" applyFill="1" applyBorder="1"/>
    <xf numFmtId="0" fontId="37" fillId="0" borderId="0" xfId="0" applyFont="1" applyFill="1"/>
    <xf numFmtId="0" fontId="37" fillId="0" borderId="0" xfId="0" applyFont="1" applyFill="1" applyBorder="1" applyAlignment="1">
      <alignment vertical="center"/>
    </xf>
    <xf numFmtId="0" fontId="38" fillId="0" borderId="0" xfId="0" applyFont="1" applyFill="1" applyAlignment="1">
      <alignment horizontal="left"/>
    </xf>
    <xf numFmtId="3" fontId="38" fillId="0" borderId="1" xfId="0" applyNumberFormat="1" applyFont="1" applyFill="1" applyBorder="1"/>
    <xf numFmtId="1" fontId="38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Protection="1"/>
    <xf numFmtId="0" fontId="33" fillId="0" borderId="16" xfId="0" quotePrefix="1" applyFon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33" fillId="0" borderId="16" xfId="0" applyFont="1" applyFill="1" applyBorder="1" applyAlignment="1" applyProtection="1">
      <alignment horizontal="center"/>
      <protection locked="0"/>
    </xf>
    <xf numFmtId="0" fontId="34" fillId="0" borderId="0" xfId="0" quotePrefix="1" applyFont="1" applyFill="1" applyBorder="1" applyAlignment="1">
      <alignment horizontal="center"/>
    </xf>
    <xf numFmtId="0" fontId="36" fillId="0" borderId="16" xfId="0" quotePrefix="1" applyFont="1" applyFill="1" applyBorder="1" applyAlignment="1">
      <alignment horizontal="center"/>
    </xf>
    <xf numFmtId="0" fontId="38" fillId="0" borderId="16" xfId="0" applyFont="1" applyFill="1" applyBorder="1"/>
    <xf numFmtId="0" fontId="37" fillId="0" borderId="0" xfId="0" applyFont="1" applyFill="1" applyBorder="1" applyAlignment="1">
      <alignment horizontal="center"/>
    </xf>
    <xf numFmtId="0" fontId="17" fillId="0" borderId="16" xfId="0" applyFont="1" applyFill="1" applyBorder="1" applyAlignment="1"/>
    <xf numFmtId="0" fontId="29" fillId="0" borderId="38" xfId="0" applyFont="1" applyFill="1" applyBorder="1" applyAlignment="1" applyProtection="1">
      <alignment horizontal="centerContinuous"/>
    </xf>
    <xf numFmtId="0" fontId="29" fillId="0" borderId="23" xfId="0" applyFont="1" applyFill="1" applyBorder="1" applyAlignment="1" applyProtection="1">
      <alignment horizontal="center"/>
    </xf>
    <xf numFmtId="0" fontId="29" fillId="0" borderId="17" xfId="0" applyFont="1" applyFill="1" applyBorder="1" applyAlignment="1" applyProtection="1"/>
    <xf numFmtId="0" fontId="29" fillId="0" borderId="38" xfId="0" applyFont="1" applyFill="1" applyBorder="1" applyAlignment="1" applyProtection="1">
      <alignment horizontal="center"/>
    </xf>
    <xf numFmtId="0" fontId="29" fillId="0" borderId="17" xfId="0" applyFont="1" applyFill="1" applyBorder="1" applyAlignment="1" applyProtection="1">
      <alignment horizontal="center"/>
    </xf>
    <xf numFmtId="3" fontId="29" fillId="0" borderId="18" xfId="0" applyNumberFormat="1" applyFont="1" applyFill="1" applyBorder="1" applyAlignment="1" applyProtection="1">
      <alignment horizontal="right"/>
    </xf>
    <xf numFmtId="3" fontId="29" fillId="0" borderId="7" xfId="0" applyNumberFormat="1" applyFont="1" applyFill="1" applyBorder="1" applyAlignment="1" applyProtection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29" fillId="0" borderId="17" xfId="0" applyFont="1" applyFill="1" applyBorder="1" applyAlignment="1">
      <alignment horizontal="centerContinuous"/>
    </xf>
    <xf numFmtId="0" fontId="29" fillId="0" borderId="1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centerContinuous"/>
    </xf>
    <xf numFmtId="170" fontId="29" fillId="0" borderId="38" xfId="0" applyNumberFormat="1" applyFont="1" applyFill="1" applyBorder="1" applyAlignment="1" applyProtection="1">
      <alignment horizontal="centerContinuous"/>
    </xf>
    <xf numFmtId="170" fontId="29" fillId="0" borderId="23" xfId="0" applyNumberFormat="1" applyFont="1" applyFill="1" applyBorder="1" applyAlignment="1" applyProtection="1">
      <alignment horizontal="center"/>
    </xf>
    <xf numFmtId="0" fontId="29" fillId="0" borderId="17" xfId="0" applyFont="1" applyFill="1" applyBorder="1" applyAlignment="1" applyProtection="1">
      <alignment horizontal="centerContinuous"/>
    </xf>
    <xf numFmtId="3" fontId="29" fillId="0" borderId="0" xfId="0" applyNumberFormat="1" applyFont="1" applyFill="1" applyBorder="1" applyAlignment="1" applyProtection="1">
      <alignment horizontal="center"/>
    </xf>
    <xf numFmtId="0" fontId="61" fillId="0" borderId="0" xfId="0" applyFont="1" applyFill="1" applyBorder="1" applyAlignment="1"/>
    <xf numFmtId="3" fontId="4" fillId="0" borderId="23" xfId="0" applyNumberFormat="1" applyFont="1" applyFill="1" applyBorder="1"/>
    <xf numFmtId="37" fontId="4" fillId="0" borderId="1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37" fontId="4" fillId="0" borderId="0" xfId="0" applyNumberFormat="1" applyFont="1" applyFill="1" applyBorder="1"/>
    <xf numFmtId="0" fontId="64" fillId="0" borderId="27" xfId="0" applyFont="1" applyFill="1" applyBorder="1"/>
    <xf numFmtId="37" fontId="4" fillId="0" borderId="18" xfId="0" applyNumberFormat="1" applyFont="1" applyFill="1" applyBorder="1"/>
    <xf numFmtId="0" fontId="64" fillId="0" borderId="2" xfId="0" applyFont="1" applyFill="1" applyBorder="1"/>
    <xf numFmtId="37" fontId="4" fillId="0" borderId="8" xfId="0" applyNumberFormat="1" applyFont="1" applyFill="1" applyBorder="1"/>
    <xf numFmtId="37" fontId="4" fillId="0" borderId="9" xfId="0" applyNumberFormat="1" applyFont="1" applyFill="1" applyBorder="1"/>
    <xf numFmtId="0" fontId="4" fillId="0" borderId="0" xfId="0" applyFont="1" applyFill="1"/>
    <xf numFmtId="49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41" fontId="4" fillId="0" borderId="2" xfId="0" applyNumberFormat="1" applyFont="1" applyFill="1" applyBorder="1" applyProtection="1"/>
    <xf numFmtId="41" fontId="4" fillId="0" borderId="7" xfId="0" applyNumberFormat="1" applyFont="1" applyFill="1" applyBorder="1"/>
    <xf numFmtId="41" fontId="4" fillId="0" borderId="7" xfId="0" applyNumberFormat="1" applyFont="1" applyFill="1" applyBorder="1" applyProtection="1"/>
    <xf numFmtId="0" fontId="4" fillId="0" borderId="0" xfId="0" applyFont="1" applyFill="1" applyBorder="1" applyProtection="1"/>
    <xf numFmtId="41" fontId="4" fillId="0" borderId="39" xfId="0" applyNumberFormat="1" applyFont="1" applyFill="1" applyBorder="1" applyProtection="1"/>
    <xf numFmtId="41" fontId="4" fillId="0" borderId="11" xfId="0" applyNumberFormat="1" applyFont="1" applyFill="1" applyBorder="1" applyProtection="1"/>
    <xf numFmtId="41" fontId="4" fillId="0" borderId="40" xfId="0" applyNumberFormat="1" applyFont="1" applyFill="1" applyBorder="1" applyProtection="1"/>
    <xf numFmtId="41" fontId="4" fillId="0" borderId="8" xfId="0" applyNumberFormat="1" applyFont="1" applyFill="1" applyBorder="1"/>
    <xf numFmtId="41" fontId="4" fillId="0" borderId="9" xfId="0" applyNumberFormat="1" applyFont="1" applyFill="1" applyBorder="1"/>
    <xf numFmtId="41" fontId="4" fillId="0" borderId="0" xfId="0" applyNumberFormat="1" applyFont="1" applyFill="1" applyBorder="1" applyProtection="1"/>
    <xf numFmtId="41" fontId="4" fillId="0" borderId="1" xfId="0" applyNumberFormat="1" applyFont="1" applyFill="1" applyBorder="1" applyProtection="1"/>
    <xf numFmtId="41" fontId="4" fillId="0" borderId="18" xfId="0" applyNumberFormat="1" applyFont="1" applyFill="1" applyBorder="1"/>
    <xf numFmtId="0" fontId="29" fillId="0" borderId="0" xfId="0" applyFont="1" applyFill="1" applyProtection="1"/>
    <xf numFmtId="0" fontId="0" fillId="0" borderId="0" xfId="0" applyFill="1" applyProtection="1"/>
    <xf numFmtId="0" fontId="29" fillId="0" borderId="0" xfId="0" applyFont="1" applyFill="1" applyAlignment="1" applyProtection="1">
      <alignment horizontal="right"/>
    </xf>
    <xf numFmtId="1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38" fontId="29" fillId="0" borderId="11" xfId="0" applyNumberFormat="1" applyFont="1" applyFill="1" applyBorder="1" applyProtection="1"/>
    <xf numFmtId="38" fontId="29" fillId="0" borderId="0" xfId="0" applyNumberFormat="1" applyFont="1" applyFill="1" applyBorder="1" applyProtection="1"/>
    <xf numFmtId="0" fontId="17" fillId="0" borderId="0" xfId="0" applyFont="1" applyFill="1" applyBorder="1" applyProtection="1"/>
    <xf numFmtId="38" fontId="17" fillId="0" borderId="16" xfId="0" applyNumberFormat="1" applyFont="1" applyFill="1" applyBorder="1" applyProtection="1"/>
    <xf numFmtId="38" fontId="17" fillId="0" borderId="41" xfId="0" applyNumberFormat="1" applyFont="1" applyFill="1" applyBorder="1" applyProtection="1"/>
    <xf numFmtId="0" fontId="34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34" fillId="0" borderId="0" xfId="0" quotePrefix="1" applyFont="1" applyFill="1" applyBorder="1" applyAlignment="1" applyProtection="1">
      <alignment horizontal="center"/>
    </xf>
    <xf numFmtId="3" fontId="38" fillId="0" borderId="16" xfId="0" applyNumberFormat="1" applyFont="1" applyFill="1" applyBorder="1" applyProtection="1">
      <protection locked="0"/>
    </xf>
    <xf numFmtId="0" fontId="37" fillId="0" borderId="0" xfId="0" applyFont="1" applyFill="1" applyBorder="1" applyAlignment="1" applyProtection="1">
      <alignment horizontal="center"/>
    </xf>
    <xf numFmtId="3" fontId="67" fillId="0" borderId="0" xfId="12" applyNumberFormat="1" applyFont="1" applyFill="1" applyBorder="1" applyAlignment="1" applyProtection="1">
      <alignment horizontal="right"/>
    </xf>
    <xf numFmtId="0" fontId="17" fillId="0" borderId="0" xfId="0" applyFont="1" applyFill="1" applyAlignment="1">
      <alignment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55" fillId="0" borderId="0" xfId="0" applyFont="1" applyFill="1" applyBorder="1"/>
    <xf numFmtId="38" fontId="17" fillId="0" borderId="0" xfId="0" applyNumberFormat="1" applyFont="1" applyFill="1" applyBorder="1" applyAlignment="1" applyProtection="1">
      <alignment horizontal="center"/>
    </xf>
    <xf numFmtId="38" fontId="29" fillId="0" borderId="37" xfId="0" applyNumberFormat="1" applyFont="1" applyFill="1" applyBorder="1" applyProtection="1">
      <protection locked="0"/>
    </xf>
    <xf numFmtId="0" fontId="67" fillId="0" borderId="35" xfId="12" applyFont="1" applyFill="1" applyBorder="1" applyAlignment="1" applyProtection="1"/>
    <xf numFmtId="0" fontId="17" fillId="0" borderId="0" xfId="0" applyFont="1" applyFill="1" applyBorder="1" applyAlignment="1">
      <alignment wrapText="1"/>
    </xf>
    <xf numFmtId="0" fontId="68" fillId="0" borderId="16" xfId="0" quotePrefix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Border="1"/>
    <xf numFmtId="0" fontId="68" fillId="0" borderId="16" xfId="0" applyFont="1" applyFill="1" applyBorder="1" applyAlignment="1" applyProtection="1">
      <alignment horizontal="center"/>
      <protection locked="0"/>
    </xf>
    <xf numFmtId="0" fontId="18" fillId="0" borderId="0" xfId="0" quotePrefix="1" applyFont="1" applyFill="1" applyBorder="1" applyAlignment="1">
      <alignment horizontal="center"/>
    </xf>
    <xf numFmtId="0" fontId="17" fillId="0" borderId="16" xfId="0" quotePrefix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68" fillId="0" borderId="0" xfId="0" applyFont="1" applyFill="1" applyProtection="1"/>
    <xf numFmtId="0" fontId="17" fillId="0" borderId="0" xfId="0" applyFont="1" applyFill="1" applyBorder="1" applyAlignment="1" applyProtection="1">
      <alignment horizontal="center" wrapText="1"/>
    </xf>
    <xf numFmtId="0" fontId="55" fillId="0" borderId="0" xfId="0" applyFont="1" applyFill="1" applyBorder="1" applyProtection="1"/>
    <xf numFmtId="0" fontId="29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38" fontId="29" fillId="0" borderId="17" xfId="0" applyNumberFormat="1" applyFont="1" applyFill="1" applyBorder="1" applyProtection="1"/>
    <xf numFmtId="0" fontId="67" fillId="0" borderId="0" xfId="12" applyFont="1" applyFill="1" applyBorder="1" applyAlignment="1" applyProtection="1"/>
    <xf numFmtId="38" fontId="17" fillId="0" borderId="0" xfId="0" applyNumberFormat="1" applyFont="1" applyFill="1" applyBorder="1" applyProtection="1"/>
    <xf numFmtId="0" fontId="46" fillId="0" borderId="0" xfId="0" applyFont="1" applyFill="1" applyBorder="1" applyProtection="1"/>
    <xf numFmtId="38" fontId="29" fillId="0" borderId="12" xfId="0" applyNumberFormat="1" applyFont="1" applyFill="1" applyBorder="1" applyProtection="1"/>
    <xf numFmtId="3" fontId="29" fillId="0" borderId="16" xfId="0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Continuous" wrapText="1"/>
    </xf>
    <xf numFmtId="0" fontId="29" fillId="0" borderId="0" xfId="0" applyFont="1" applyFill="1" applyBorder="1" applyAlignment="1" applyProtection="1">
      <alignment horizontal="centerContinuous"/>
    </xf>
    <xf numFmtId="3" fontId="29" fillId="0" borderId="0" xfId="0" applyNumberFormat="1" applyFont="1" applyFill="1" applyBorder="1" applyProtection="1"/>
    <xf numFmtId="3" fontId="29" fillId="0" borderId="0" xfId="0" applyNumberFormat="1" applyFont="1" applyFill="1" applyProtection="1"/>
    <xf numFmtId="0" fontId="16" fillId="0" borderId="0" xfId="0" applyFont="1" applyFill="1" applyBorder="1" applyProtection="1"/>
    <xf numFmtId="0" fontId="18" fillId="0" borderId="0" xfId="0" quotePrefix="1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Continuous" wrapText="1"/>
    </xf>
    <xf numFmtId="0" fontId="10" fillId="0" borderId="0" xfId="21" applyNumberFormat="1" applyFont="1" applyAlignment="1">
      <alignment vertical="top" wrapText="1"/>
    </xf>
    <xf numFmtId="0" fontId="10" fillId="0" borderId="0" xfId="21" applyNumberFormat="1" applyFont="1" applyFill="1" applyAlignment="1">
      <alignment vertical="top" wrapText="1"/>
    </xf>
    <xf numFmtId="0" fontId="10" fillId="0" borderId="0" xfId="21" applyNumberFormat="1" applyFont="1"/>
    <xf numFmtId="0" fontId="0" fillId="0" borderId="0" xfId="0" applyNumberFormat="1"/>
    <xf numFmtId="0" fontId="36" fillId="4" borderId="0" xfId="21" applyNumberFormat="1" applyFont="1" applyFill="1" applyBorder="1" applyAlignment="1">
      <alignment vertical="top" wrapText="1"/>
    </xf>
    <xf numFmtId="0" fontId="36" fillId="4" borderId="0" xfId="21" applyNumberFormat="1" applyFont="1" applyFill="1" applyBorder="1"/>
    <xf numFmtId="0" fontId="0" fillId="0" borderId="0" xfId="0" applyNumberFormat="1" applyFill="1"/>
    <xf numFmtId="0" fontId="36" fillId="4" borderId="0" xfId="21" applyNumberFormat="1" applyFont="1" applyFill="1"/>
    <xf numFmtId="0" fontId="36" fillId="4" borderId="0" xfId="21" applyNumberFormat="1" applyFont="1" applyFill="1" applyBorder="1" applyAlignment="1">
      <alignment vertical="top"/>
    </xf>
    <xf numFmtId="0" fontId="36" fillId="0" borderId="0" xfId="21" applyNumberFormat="1" applyFont="1" applyFill="1" applyBorder="1" applyAlignment="1">
      <alignment vertical="top" wrapText="1"/>
    </xf>
    <xf numFmtId="0" fontId="36" fillId="0" borderId="0" xfId="21" applyNumberFormat="1" applyFont="1" applyFill="1" applyBorder="1"/>
    <xf numFmtId="0" fontId="10" fillId="4" borderId="0" xfId="21" applyNumberFormat="1" applyFont="1" applyFill="1" applyBorder="1" applyAlignment="1">
      <alignment vertical="top" wrapText="1"/>
    </xf>
    <xf numFmtId="0" fontId="10" fillId="4" borderId="0" xfId="21" applyNumberFormat="1" applyFont="1" applyFill="1" applyBorder="1"/>
    <xf numFmtId="0" fontId="0" fillId="0" borderId="0" xfId="0" quotePrefix="1" applyNumberFormat="1"/>
    <xf numFmtId="0" fontId="3" fillId="0" borderId="0" xfId="0" applyFont="1" applyBorder="1"/>
    <xf numFmtId="0" fontId="69" fillId="0" borderId="0" xfId="0" applyFont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70" fillId="0" borderId="42" xfId="23" applyFont="1" applyFill="1" applyBorder="1" applyAlignment="1"/>
    <xf numFmtId="0" fontId="0" fillId="11" borderId="43" xfId="0" applyFill="1" applyBorder="1"/>
    <xf numFmtId="0" fontId="0" fillId="11" borderId="44" xfId="0" applyFill="1" applyBorder="1"/>
    <xf numFmtId="0" fontId="0" fillId="11" borderId="45" xfId="0" applyFill="1" applyBorder="1"/>
    <xf numFmtId="0" fontId="6" fillId="12" borderId="46" xfId="0" applyFont="1" applyFill="1" applyBorder="1"/>
    <xf numFmtId="0" fontId="48" fillId="0" borderId="42" xfId="23" applyFont="1" applyFill="1" applyBorder="1" applyAlignment="1"/>
    <xf numFmtId="0" fontId="72" fillId="12" borderId="47" xfId="12" applyFont="1" applyFill="1" applyBorder="1" applyAlignment="1" applyProtection="1"/>
    <xf numFmtId="0" fontId="48" fillId="0" borderId="4" xfId="23" applyFont="1" applyFill="1" applyBorder="1" applyAlignment="1"/>
    <xf numFmtId="0" fontId="0" fillId="11" borderId="48" xfId="0" applyFill="1" applyBorder="1"/>
    <xf numFmtId="0" fontId="0" fillId="11" borderId="0" xfId="0" applyFill="1" applyBorder="1"/>
    <xf numFmtId="0" fontId="0" fillId="11" borderId="49" xfId="0" applyFill="1" applyBorder="1"/>
    <xf numFmtId="0" fontId="6" fillId="11" borderId="43" xfId="0" applyFont="1" applyFill="1" applyBorder="1" applyAlignment="1">
      <alignment horizontal="centerContinuous"/>
    </xf>
    <xf numFmtId="0" fontId="0" fillId="11" borderId="0" xfId="0" applyFill="1" applyBorder="1" applyAlignment="1">
      <alignment horizontal="centerContinuous"/>
    </xf>
    <xf numFmtId="0" fontId="0" fillId="11" borderId="0" xfId="0" applyFill="1" applyAlignment="1">
      <alignment horizontal="centerContinuous"/>
    </xf>
    <xf numFmtId="0" fontId="6" fillId="11" borderId="0" xfId="0" applyFont="1" applyFill="1" applyBorder="1" applyAlignment="1">
      <alignment horizontal="centerContinuous"/>
    </xf>
    <xf numFmtId="0" fontId="0" fillId="11" borderId="45" xfId="0" applyFill="1" applyBorder="1" applyAlignment="1">
      <alignment horizontal="centerContinuous"/>
    </xf>
    <xf numFmtId="0" fontId="78" fillId="0" borderId="4" xfId="23" applyFont="1" applyFill="1" applyBorder="1" applyAlignment="1"/>
    <xf numFmtId="0" fontId="6" fillId="12" borderId="47" xfId="0" applyFont="1" applyFill="1" applyBorder="1"/>
    <xf numFmtId="0" fontId="8" fillId="12" borderId="47" xfId="12" applyFill="1" applyBorder="1" applyAlignment="1" applyProtection="1"/>
    <xf numFmtId="0" fontId="0" fillId="11" borderId="44" xfId="0" applyFill="1" applyBorder="1" applyAlignment="1">
      <alignment horizontal="centerContinuous"/>
    </xf>
    <xf numFmtId="0" fontId="0" fillId="11" borderId="50" xfId="0" applyFill="1" applyBorder="1"/>
    <xf numFmtId="0" fontId="0" fillId="11" borderId="31" xfId="0" applyFill="1" applyBorder="1"/>
    <xf numFmtId="0" fontId="0" fillId="11" borderId="51" xfId="0" applyFill="1" applyBorder="1"/>
    <xf numFmtId="0" fontId="6" fillId="12" borderId="52" xfId="0" applyFont="1" applyFill="1" applyBorder="1"/>
    <xf numFmtId="0" fontId="48" fillId="0" borderId="53" xfId="23" applyFont="1" applyFill="1" applyBorder="1" applyAlignment="1"/>
    <xf numFmtId="0" fontId="17" fillId="0" borderId="0" xfId="0" applyFont="1" applyFill="1" applyAlignment="1" applyProtection="1">
      <alignment horizontal="left"/>
    </xf>
    <xf numFmtId="166" fontId="17" fillId="0" borderId="0" xfId="0" applyNumberFormat="1" applyFont="1" applyFill="1" applyAlignment="1" applyProtection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0" fontId="45" fillId="0" borderId="0" xfId="0" applyNumberFormat="1" applyFont="1" applyFill="1" applyBorder="1" applyAlignment="1" applyProtection="1">
      <alignment horizontal="centerContinuous"/>
    </xf>
    <xf numFmtId="166" fontId="14" fillId="0" borderId="0" xfId="0" applyNumberFormat="1" applyFont="1" applyFill="1" applyAlignment="1">
      <alignment horizontal="left"/>
    </xf>
    <xf numFmtId="166" fontId="17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 indent="1"/>
    </xf>
    <xf numFmtId="38" fontId="29" fillId="0" borderId="8" xfId="0" applyNumberFormat="1" applyFont="1" applyFill="1" applyBorder="1" applyProtection="1"/>
    <xf numFmtId="38" fontId="29" fillId="0" borderId="7" xfId="0" applyNumberFormat="1" applyFont="1" applyFill="1" applyBorder="1" applyProtection="1"/>
    <xf numFmtId="38" fontId="29" fillId="0" borderId="14" xfId="0" applyNumberFormat="1" applyFont="1" applyFill="1" applyBorder="1" applyProtection="1"/>
    <xf numFmtId="38" fontId="29" fillId="0" borderId="8" xfId="6" applyNumberFormat="1" applyFont="1" applyFill="1" applyBorder="1" applyProtection="1"/>
    <xf numFmtId="38" fontId="17" fillId="0" borderId="9" xfId="0" applyNumberFormat="1" applyFont="1" applyFill="1" applyBorder="1" applyProtection="1"/>
    <xf numFmtId="38" fontId="29" fillId="0" borderId="10" xfId="0" applyNumberFormat="1" applyFont="1" applyFill="1" applyBorder="1" applyProtection="1"/>
    <xf numFmtId="38" fontId="29" fillId="0" borderId="1" xfId="0" applyNumberFormat="1" applyFont="1" applyFill="1" applyBorder="1" applyProtection="1"/>
    <xf numFmtId="38" fontId="17" fillId="0" borderId="1" xfId="0" applyNumberFormat="1" applyFont="1" applyFill="1" applyBorder="1" applyProtection="1"/>
    <xf numFmtId="38" fontId="29" fillId="0" borderId="18" xfId="0" applyNumberFormat="1" applyFont="1" applyFill="1" applyBorder="1" applyProtection="1"/>
    <xf numFmtId="38" fontId="29" fillId="0" borderId="27" xfId="0" applyNumberFormat="1" applyFont="1" applyFill="1" applyBorder="1" applyProtection="1"/>
    <xf numFmtId="3" fontId="0" fillId="0" borderId="0" xfId="0" applyNumberFormat="1"/>
    <xf numFmtId="0" fontId="6" fillId="0" borderId="0" xfId="0" applyFont="1" applyFill="1"/>
    <xf numFmtId="0" fontId="10" fillId="0" borderId="0" xfId="21" applyNumberFormat="1" applyFont="1" applyFill="1" applyBorder="1"/>
    <xf numFmtId="3" fontId="79" fillId="0" borderId="0" xfId="0" applyNumberFormat="1" applyFont="1"/>
    <xf numFmtId="0" fontId="79" fillId="0" borderId="0" xfId="0" applyFont="1" applyFill="1"/>
    <xf numFmtId="0" fontId="79" fillId="0" borderId="0" xfId="0" applyNumberFormat="1" applyFont="1" applyFill="1"/>
    <xf numFmtId="0" fontId="79" fillId="0" borderId="0" xfId="0" applyNumberFormat="1" applyFont="1"/>
    <xf numFmtId="3" fontId="79" fillId="0" borderId="0" xfId="0" applyNumberFormat="1" applyFont="1" applyFill="1"/>
    <xf numFmtId="0" fontId="80" fillId="0" borderId="0" xfId="21" applyNumberFormat="1" applyFont="1" applyFill="1" applyBorder="1" applyAlignment="1">
      <alignment vertical="top" wrapText="1"/>
    </xf>
    <xf numFmtId="0" fontId="80" fillId="0" borderId="0" xfId="21" applyNumberFormat="1" applyFont="1" applyFill="1" applyBorder="1"/>
    <xf numFmtId="0" fontId="4" fillId="0" borderId="0" xfId="0" applyNumberFormat="1" applyFont="1" applyFill="1"/>
    <xf numFmtId="37" fontId="4" fillId="0" borderId="2" xfId="0" applyNumberFormat="1" applyFont="1" applyFill="1" applyBorder="1" applyProtection="1"/>
    <xf numFmtId="37" fontId="4" fillId="0" borderId="7" xfId="0" applyNumberFormat="1" applyFont="1" applyFill="1" applyBorder="1" applyProtection="1"/>
    <xf numFmtId="3" fontId="29" fillId="0" borderId="7" xfId="0" applyNumberFormat="1" applyFont="1" applyFill="1" applyBorder="1" applyAlignment="1" applyProtection="1">
      <alignment horizontal="right"/>
      <protection locked="0"/>
    </xf>
    <xf numFmtId="1" fontId="44" fillId="0" borderId="0" xfId="0" applyNumberFormat="1" applyFont="1" applyFill="1" applyBorder="1" applyProtection="1"/>
    <xf numFmtId="1" fontId="45" fillId="0" borderId="38" xfId="0" applyNumberFormat="1" applyFont="1" applyFill="1" applyBorder="1" applyAlignment="1" applyProtection="1">
      <alignment horizontal="center"/>
    </xf>
    <xf numFmtId="1" fontId="39" fillId="0" borderId="0" xfId="0" applyNumberFormat="1" applyFont="1" applyFill="1" applyBorder="1" applyAlignment="1" applyProtection="1">
      <alignment horizontal="left"/>
    </xf>
    <xf numFmtId="1" fontId="41" fillId="0" borderId="0" xfId="0" applyNumberFormat="1" applyFont="1" applyFill="1" applyBorder="1" applyAlignment="1" applyProtection="1">
      <alignment horizontal="left"/>
    </xf>
    <xf numFmtId="1" fontId="38" fillId="0" borderId="38" xfId="0" applyNumberFormat="1" applyFont="1" applyFill="1" applyBorder="1" applyAlignment="1">
      <alignment horizontal="centerContinuous"/>
    </xf>
    <xf numFmtId="1" fontId="38" fillId="0" borderId="1" xfId="0" applyNumberFormat="1" applyFont="1" applyFill="1" applyBorder="1"/>
    <xf numFmtId="37" fontId="39" fillId="0" borderId="10" xfId="0" applyNumberFormat="1" applyFont="1" applyFill="1" applyBorder="1" applyProtection="1">
      <protection locked="0"/>
    </xf>
    <xf numFmtId="37" fontId="39" fillId="0" borderId="2" xfId="0" applyNumberFormat="1" applyFont="1" applyFill="1" applyBorder="1" applyProtection="1">
      <protection locked="0"/>
    </xf>
    <xf numFmtId="37" fontId="39" fillId="0" borderId="7" xfId="0" applyNumberFormat="1" applyFont="1" applyFill="1" applyBorder="1" applyProtection="1">
      <protection locked="0"/>
    </xf>
    <xf numFmtId="37" fontId="39" fillId="0" borderId="27" xfId="0" applyNumberFormat="1" applyFont="1" applyFill="1" applyBorder="1" applyProtection="1">
      <protection locked="0"/>
    </xf>
    <xf numFmtId="37" fontId="39" fillId="0" borderId="8" xfId="0" applyNumberFormat="1" applyFont="1" applyFill="1" applyBorder="1" applyProtection="1">
      <protection locked="0"/>
    </xf>
    <xf numFmtId="37" fontId="39" fillId="0" borderId="21" xfId="0" applyNumberFormat="1" applyFont="1" applyFill="1" applyBorder="1" applyProtection="1">
      <protection locked="0"/>
    </xf>
    <xf numFmtId="37" fontId="45" fillId="0" borderId="2" xfId="0" applyNumberFormat="1" applyFont="1" applyFill="1" applyBorder="1" applyProtection="1">
      <protection locked="0"/>
    </xf>
    <xf numFmtId="37" fontId="45" fillId="0" borderId="7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3" fontId="29" fillId="0" borderId="7" xfId="0" quotePrefix="1" applyNumberFormat="1" applyFont="1" applyFill="1" applyBorder="1" applyAlignment="1" applyProtection="1">
      <alignment horizontal="centerContinuous"/>
    </xf>
    <xf numFmtId="3" fontId="29" fillId="0" borderId="7" xfId="0" applyNumberFormat="1" applyFont="1" applyFill="1" applyBorder="1" applyProtection="1">
      <protection locked="0"/>
    </xf>
    <xf numFmtId="1" fontId="3" fillId="0" borderId="0" xfId="0" applyNumberFormat="1" applyFont="1" applyFill="1" applyBorder="1"/>
    <xf numFmtId="1" fontId="49" fillId="0" borderId="0" xfId="0" applyNumberFormat="1" applyFont="1" applyFill="1" applyBorder="1" applyAlignment="1">
      <alignment horizontal="centerContinuous"/>
    </xf>
    <xf numFmtId="1" fontId="38" fillId="0" borderId="2" xfId="0" applyNumberFormat="1" applyFont="1" applyFill="1" applyBorder="1"/>
    <xf numFmtId="3" fontId="38" fillId="0" borderId="21" xfId="0" applyNumberFormat="1" applyFont="1" applyFill="1" applyBorder="1" applyProtection="1">
      <protection locked="0"/>
    </xf>
    <xf numFmtId="3" fontId="38" fillId="0" borderId="2" xfId="0" applyNumberFormat="1" applyFont="1" applyFill="1" applyBorder="1" applyProtection="1">
      <protection locked="0"/>
    </xf>
    <xf numFmtId="3" fontId="38" fillId="0" borderId="7" xfId="0" applyNumberFormat="1" applyFont="1" applyFill="1" applyBorder="1" applyProtection="1">
      <protection locked="0"/>
    </xf>
    <xf numFmtId="3" fontId="38" fillId="0" borderId="0" xfId="0" applyNumberFormat="1" applyFont="1" applyFill="1" applyBorder="1" applyAlignment="1">
      <alignment vertical="center"/>
    </xf>
    <xf numFmtId="3" fontId="38" fillId="0" borderId="34" xfId="0" applyNumberFormat="1" applyFont="1" applyFill="1" applyBorder="1" applyProtection="1">
      <protection locked="0"/>
    </xf>
    <xf numFmtId="3" fontId="38" fillId="0" borderId="36" xfId="0" applyNumberFormat="1" applyFont="1" applyFill="1" applyBorder="1"/>
    <xf numFmtId="3" fontId="38" fillId="0" borderId="10" xfId="0" applyNumberFormat="1" applyFont="1" applyFill="1" applyBorder="1" applyProtection="1">
      <protection locked="0"/>
    </xf>
    <xf numFmtId="3" fontId="3" fillId="0" borderId="0" xfId="0" applyNumberFormat="1" applyFont="1" applyFill="1"/>
    <xf numFmtId="1" fontId="38" fillId="0" borderId="27" xfId="0" applyNumberFormat="1" applyFont="1" applyFill="1" applyBorder="1"/>
    <xf numFmtId="3" fontId="38" fillId="0" borderId="10" xfId="0" applyNumberFormat="1" applyFont="1" applyFill="1" applyBorder="1" applyAlignment="1" applyProtection="1">
      <alignment horizontal="right"/>
      <protection locked="0"/>
    </xf>
    <xf numFmtId="3" fontId="38" fillId="0" borderId="23" xfId="0" applyNumberFormat="1" applyFont="1" applyFill="1" applyBorder="1" applyAlignment="1" applyProtection="1">
      <alignment horizontal="right"/>
      <protection locked="0"/>
    </xf>
    <xf numFmtId="3" fontId="38" fillId="0" borderId="18" xfId="0" applyNumberFormat="1" applyFont="1" applyFill="1" applyBorder="1" applyAlignment="1" applyProtection="1">
      <alignment horizontal="right"/>
      <protection locked="0"/>
    </xf>
    <xf numFmtId="3" fontId="38" fillId="0" borderId="7" xfId="0" applyNumberFormat="1" applyFont="1" applyFill="1" applyBorder="1" applyAlignment="1" applyProtection="1">
      <alignment horizontal="right"/>
      <protection locked="0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>
      <alignment horizontal="right"/>
    </xf>
    <xf numFmtId="3" fontId="38" fillId="0" borderId="14" xfId="0" applyNumberFormat="1" applyFont="1" applyFill="1" applyBorder="1" applyAlignment="1" applyProtection="1">
      <alignment horizontal="right"/>
      <protection locked="0"/>
    </xf>
    <xf numFmtId="0" fontId="38" fillId="0" borderId="0" xfId="0" quotePrefix="1" applyFont="1" applyFill="1" applyBorder="1" applyAlignment="1" applyProtection="1">
      <alignment vertical="top" wrapText="1"/>
      <protection locked="0"/>
    </xf>
    <xf numFmtId="0" fontId="38" fillId="0" borderId="54" xfId="0" applyFont="1" applyFill="1" applyBorder="1" applyAlignment="1" applyProtection="1">
      <alignment wrapText="1"/>
      <protection locked="0"/>
    </xf>
    <xf numFmtId="0" fontId="38" fillId="0" borderId="36" xfId="0" quotePrefix="1" applyFont="1" applyFill="1" applyBorder="1" applyAlignment="1" applyProtection="1">
      <alignment vertical="top"/>
      <protection locked="0"/>
    </xf>
    <xf numFmtId="1" fontId="41" fillId="0" borderId="11" xfId="0" applyNumberFormat="1" applyFont="1" applyFill="1" applyBorder="1" applyAlignment="1" applyProtection="1">
      <alignment horizontal="left"/>
    </xf>
    <xf numFmtId="1" fontId="0" fillId="0" borderId="0" xfId="0" applyNumberFormat="1" applyFill="1" applyBorder="1"/>
    <xf numFmtId="1" fontId="38" fillId="0" borderId="38" xfId="0" applyNumberFormat="1" applyFont="1" applyFill="1" applyBorder="1"/>
    <xf numFmtId="3" fontId="38" fillId="0" borderId="8" xfId="0" applyNumberFormat="1" applyFont="1" applyFill="1" applyBorder="1" applyProtection="1">
      <protection locked="0"/>
    </xf>
    <xf numFmtId="3" fontId="29" fillId="0" borderId="10" xfId="0" applyNumberFormat="1" applyFont="1" applyFill="1" applyBorder="1" applyProtection="1">
      <protection locked="0"/>
    </xf>
    <xf numFmtId="3" fontId="29" fillId="0" borderId="18" xfId="0" applyNumberFormat="1" applyFont="1" applyFill="1" applyBorder="1" applyProtection="1">
      <protection locked="0"/>
    </xf>
    <xf numFmtId="3" fontId="29" fillId="0" borderId="18" xfId="0" applyNumberFormat="1" applyFont="1" applyFill="1" applyBorder="1" applyAlignment="1" applyProtection="1">
      <alignment horizontal="right"/>
      <protection locked="0"/>
    </xf>
    <xf numFmtId="3" fontId="38" fillId="0" borderId="37" xfId="0" applyNumberFormat="1" applyFont="1" applyFill="1" applyBorder="1"/>
    <xf numFmtId="3" fontId="29" fillId="0" borderId="10" xfId="0" applyNumberFormat="1" applyFont="1" applyFill="1" applyBorder="1" applyAlignment="1" applyProtection="1">
      <alignment horizontal="right"/>
      <protection locked="0"/>
    </xf>
    <xf numFmtId="0" fontId="29" fillId="0" borderId="37" xfId="0" quotePrefix="1" applyFont="1" applyFill="1" applyBorder="1" applyAlignment="1" applyProtection="1">
      <alignment horizontal="left"/>
      <protection locked="0"/>
    </xf>
    <xf numFmtId="0" fontId="29" fillId="0" borderId="37" xfId="0" applyFont="1" applyFill="1" applyBorder="1" applyAlignment="1" applyProtection="1">
      <protection locked="0"/>
    </xf>
    <xf numFmtId="0" fontId="29" fillId="0" borderId="11" xfId="0" applyFont="1" applyFill="1" applyBorder="1" applyAlignment="1" applyProtection="1">
      <protection locked="0"/>
    </xf>
    <xf numFmtId="3" fontId="38" fillId="0" borderId="10" xfId="0" applyNumberFormat="1" applyFont="1" applyFill="1" applyBorder="1" applyAlignment="1" applyProtection="1">
      <protection locked="0"/>
    </xf>
    <xf numFmtId="3" fontId="38" fillId="0" borderId="7" xfId="0" applyNumberFormat="1" applyFont="1" applyFill="1" applyBorder="1" applyAlignment="1" applyProtection="1">
      <protection locked="0"/>
    </xf>
    <xf numFmtId="3" fontId="29" fillId="0" borderId="18" xfId="0" applyNumberFormat="1" applyFont="1" applyFill="1" applyBorder="1" applyAlignment="1" applyProtection="1">
      <protection locked="0"/>
    </xf>
    <xf numFmtId="3" fontId="29" fillId="0" borderId="2" xfId="0" applyNumberFormat="1" applyFont="1" applyFill="1" applyBorder="1" applyAlignment="1" applyProtection="1">
      <protection locked="0"/>
    </xf>
    <xf numFmtId="3" fontId="29" fillId="0" borderId="8" xfId="0" applyNumberFormat="1" applyFont="1" applyFill="1" applyBorder="1" applyAlignment="1" applyProtection="1">
      <protection locked="0"/>
    </xf>
    <xf numFmtId="0" fontId="29" fillId="0" borderId="36" xfId="0" applyFont="1" applyFill="1" applyBorder="1" applyAlignment="1" applyProtection="1">
      <alignment horizontal="left"/>
      <protection locked="0"/>
    </xf>
    <xf numFmtId="0" fontId="53" fillId="0" borderId="36" xfId="0" applyFont="1" applyFill="1" applyBorder="1" applyProtection="1">
      <protection locked="0"/>
    </xf>
    <xf numFmtId="3" fontId="38" fillId="0" borderId="14" xfId="0" applyNumberFormat="1" applyFont="1" applyFill="1" applyBorder="1" applyAlignment="1" applyProtection="1">
      <protection locked="0"/>
    </xf>
    <xf numFmtId="1" fontId="39" fillId="0" borderId="10" xfId="0" applyNumberFormat="1" applyFont="1" applyFill="1" applyBorder="1" applyProtection="1">
      <protection locked="0"/>
    </xf>
    <xf numFmtId="1" fontId="39" fillId="0" borderId="7" xfId="0" applyNumberFormat="1" applyFont="1" applyFill="1" applyBorder="1" applyProtection="1">
      <protection locked="0"/>
    </xf>
    <xf numFmtId="1" fontId="39" fillId="0" borderId="8" xfId="0" applyNumberFormat="1" applyFont="1" applyFill="1" applyBorder="1" applyProtection="1">
      <protection locked="0"/>
    </xf>
    <xf numFmtId="1" fontId="29" fillId="0" borderId="0" xfId="0" applyNumberFormat="1" applyFont="1" applyFill="1" applyBorder="1" applyAlignment="1">
      <alignment vertical="center"/>
    </xf>
    <xf numFmtId="1" fontId="38" fillId="0" borderId="38" xfId="0" applyNumberFormat="1" applyFont="1" applyFill="1" applyBorder="1" applyAlignment="1" applyProtection="1">
      <alignment horizontal="centerContinuous"/>
    </xf>
    <xf numFmtId="1" fontId="38" fillId="0" borderId="1" xfId="0" applyNumberFormat="1" applyFont="1" applyFill="1" applyBorder="1" applyProtection="1"/>
    <xf numFmtId="1" fontId="38" fillId="0" borderId="38" xfId="0" applyNumberFormat="1" applyFont="1" applyFill="1" applyBorder="1" applyProtection="1"/>
    <xf numFmtId="37" fontId="38" fillId="0" borderId="7" xfId="0" applyNumberFormat="1" applyFont="1" applyFill="1" applyBorder="1" applyProtection="1">
      <protection locked="0"/>
    </xf>
    <xf numFmtId="37" fontId="38" fillId="0" borderId="10" xfId="0" applyNumberFormat="1" applyFont="1" applyFill="1" applyBorder="1" applyProtection="1">
      <protection locked="0"/>
    </xf>
    <xf numFmtId="37" fontId="38" fillId="0" borderId="8" xfId="0" applyNumberFormat="1" applyFont="1" applyFill="1" applyBorder="1" applyProtection="1">
      <protection locked="0"/>
    </xf>
    <xf numFmtId="37" fontId="45" fillId="0" borderId="7" xfId="6" applyNumberFormat="1" applyFont="1" applyFill="1" applyBorder="1" applyProtection="1">
      <protection locked="0"/>
    </xf>
    <xf numFmtId="37" fontId="38" fillId="0" borderId="7" xfId="0" applyNumberFormat="1" applyFont="1" applyFill="1" applyBorder="1" applyAlignment="1" applyProtection="1">
      <alignment vertical="top"/>
      <protection locked="0"/>
    </xf>
    <xf numFmtId="37" fontId="29" fillId="0" borderId="7" xfId="0" applyNumberFormat="1" applyFont="1" applyFill="1" applyBorder="1" applyProtection="1">
      <protection locked="0"/>
    </xf>
    <xf numFmtId="0" fontId="38" fillId="0" borderId="36" xfId="0" applyFont="1" applyFill="1" applyBorder="1" applyProtection="1">
      <protection locked="0"/>
    </xf>
    <xf numFmtId="37" fontId="38" fillId="0" borderId="2" xfId="0" applyNumberFormat="1" applyFont="1" applyFill="1" applyBorder="1" applyProtection="1">
      <protection locked="0"/>
    </xf>
    <xf numFmtId="3" fontId="38" fillId="0" borderId="18" xfId="0" applyNumberFormat="1" applyFont="1" applyFill="1" applyBorder="1" applyProtection="1">
      <protection locked="0"/>
    </xf>
    <xf numFmtId="1" fontId="15" fillId="0" borderId="0" xfId="0" applyNumberFormat="1" applyFont="1" applyFill="1" applyBorder="1" applyAlignment="1">
      <alignment horizontal="centerContinuous"/>
    </xf>
    <xf numFmtId="3" fontId="47" fillId="0" borderId="7" xfId="0" applyNumberFormat="1" applyFont="1" applyFill="1" applyBorder="1" applyAlignment="1" applyProtection="1">
      <alignment horizontal="centerContinuous" vertical="center"/>
      <protection locked="0"/>
    </xf>
    <xf numFmtId="3" fontId="38" fillId="0" borderId="7" xfId="0" applyNumberFormat="1" applyFont="1" applyFill="1" applyBorder="1" applyAlignment="1" applyProtection="1">
      <alignment horizontal="centerContinuous"/>
      <protection locked="0"/>
    </xf>
    <xf numFmtId="3" fontId="38" fillId="0" borderId="14" xfId="0" applyNumberFormat="1" applyFont="1" applyFill="1" applyBorder="1" applyProtection="1">
      <protection locked="0"/>
    </xf>
    <xf numFmtId="1" fontId="58" fillId="0" borderId="0" xfId="0" applyNumberFormat="1" applyFont="1" applyFill="1" applyBorder="1"/>
    <xf numFmtId="1" fontId="53" fillId="0" borderId="0" xfId="0" applyNumberFormat="1" applyFont="1" applyFill="1" applyBorder="1" applyAlignment="1"/>
    <xf numFmtId="1" fontId="29" fillId="0" borderId="2" xfId="0" applyNumberFormat="1" applyFont="1" applyFill="1" applyBorder="1" applyAlignment="1"/>
    <xf numFmtId="1" fontId="53" fillId="0" borderId="37" xfId="0" applyNumberFormat="1" applyFont="1" applyFill="1" applyBorder="1"/>
    <xf numFmtId="1" fontId="29" fillId="0" borderId="0" xfId="0" applyNumberFormat="1" applyFont="1" applyFill="1" applyBorder="1" applyAlignment="1">
      <alignment horizontal="center" vertical="center"/>
    </xf>
    <xf numFmtId="1" fontId="34" fillId="0" borderId="35" xfId="0" applyNumberFormat="1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/>
    </xf>
    <xf numFmtId="1" fontId="38" fillId="0" borderId="16" xfId="0" applyNumberFormat="1" applyFont="1" applyFill="1" applyBorder="1"/>
    <xf numFmtId="1" fontId="60" fillId="0" borderId="0" xfId="0" applyNumberFormat="1" applyFont="1" applyFill="1" applyBorder="1"/>
    <xf numFmtId="49" fontId="7" fillId="0" borderId="0" xfId="0" applyNumberFormat="1" applyFont="1" applyFill="1" applyBorder="1" applyAlignment="1" applyProtection="1"/>
    <xf numFmtId="49" fontId="38" fillId="0" borderId="0" xfId="0" applyNumberFormat="1" applyFont="1" applyFill="1" applyBorder="1" applyProtection="1"/>
    <xf numFmtId="0" fontId="38" fillId="0" borderId="0" xfId="0" applyFont="1" applyFill="1" applyBorder="1" applyAlignment="1" applyProtection="1">
      <alignment wrapText="1"/>
    </xf>
    <xf numFmtId="0" fontId="38" fillId="0" borderId="0" xfId="0" applyFont="1" applyFill="1" applyBorder="1" applyProtection="1"/>
    <xf numFmtId="3" fontId="38" fillId="0" borderId="0" xfId="0" applyNumberFormat="1" applyFont="1" applyFill="1" applyBorder="1" applyAlignment="1" applyProtection="1">
      <alignment horizontal="right"/>
    </xf>
    <xf numFmtId="3" fontId="29" fillId="0" borderId="23" xfId="0" quotePrefix="1" applyNumberFormat="1" applyFont="1" applyFill="1" applyBorder="1"/>
    <xf numFmtId="1" fontId="16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3" fontId="29" fillId="0" borderId="23" xfId="0" applyNumberFormat="1" applyFont="1" applyFill="1" applyBorder="1"/>
    <xf numFmtId="1" fontId="45" fillId="0" borderId="1" xfId="0" applyNumberFormat="1" applyFont="1" applyFill="1" applyBorder="1" applyAlignment="1" applyProtection="1">
      <alignment wrapText="1"/>
    </xf>
    <xf numFmtId="1" fontId="41" fillId="0" borderId="0" xfId="0" applyNumberFormat="1" applyFont="1" applyFill="1" applyBorder="1" applyAlignment="1" applyProtection="1">
      <alignment horizontal="left" wrapText="1"/>
    </xf>
    <xf numFmtId="1" fontId="39" fillId="0" borderId="1" xfId="0" applyNumberFormat="1" applyFont="1" applyFill="1" applyBorder="1" applyAlignment="1" applyProtection="1">
      <alignment wrapText="1"/>
    </xf>
    <xf numFmtId="1" fontId="39" fillId="0" borderId="0" xfId="0" applyNumberFormat="1" applyFont="1" applyFill="1" applyBorder="1" applyAlignment="1" applyProtection="1">
      <alignment wrapText="1"/>
    </xf>
    <xf numFmtId="0" fontId="38" fillId="0" borderId="0" xfId="0" applyFont="1" applyFill="1" applyAlignment="1">
      <alignment wrapText="1"/>
    </xf>
    <xf numFmtId="3" fontId="38" fillId="0" borderId="11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Protection="1"/>
    <xf numFmtId="0" fontId="0" fillId="0" borderId="0" xfId="0" applyFill="1" applyBorder="1" applyProtection="1"/>
    <xf numFmtId="0" fontId="53" fillId="0" borderId="0" xfId="0" applyFont="1" applyFill="1" applyBorder="1" applyProtection="1"/>
    <xf numFmtId="3" fontId="15" fillId="0" borderId="7" xfId="0" applyNumberFormat="1" applyFont="1" applyFill="1" applyBorder="1" applyProtection="1">
      <protection locked="0"/>
    </xf>
    <xf numFmtId="3" fontId="15" fillId="0" borderId="38" xfId="0" applyNumberFormat="1" applyFont="1" applyFill="1" applyBorder="1"/>
    <xf numFmtId="3" fontId="15" fillId="0" borderId="10" xfId="0" applyNumberFormat="1" applyFont="1" applyFill="1" applyBorder="1" applyProtection="1">
      <protection locked="0"/>
    </xf>
    <xf numFmtId="0" fontId="15" fillId="0" borderId="37" xfId="0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3" fontId="15" fillId="0" borderId="11" xfId="0" applyNumberFormat="1" applyFont="1" applyFill="1" applyBorder="1" applyAlignment="1" applyProtection="1">
      <alignment horizontal="left"/>
      <protection locked="0"/>
    </xf>
    <xf numFmtId="3" fontId="15" fillId="0" borderId="11" xfId="22" applyNumberFormat="1" applyFont="1" applyFill="1" applyBorder="1" applyProtection="1">
      <protection locked="0"/>
    </xf>
    <xf numFmtId="3" fontId="15" fillId="0" borderId="2" xfId="0" applyNumberFormat="1" applyFont="1" applyFill="1" applyBorder="1" applyProtection="1">
      <protection locked="0"/>
    </xf>
    <xf numFmtId="3" fontId="15" fillId="0" borderId="8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15" fillId="0" borderId="18" xfId="0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3" fontId="15" fillId="0" borderId="15" xfId="0" applyNumberFormat="1" applyFont="1" applyFill="1" applyBorder="1" applyProtection="1"/>
    <xf numFmtId="37" fontId="15" fillId="0" borderId="0" xfId="0" applyNumberFormat="1" applyFont="1" applyFill="1" applyBorder="1" applyProtection="1"/>
    <xf numFmtId="0" fontId="17" fillId="0" borderId="0" xfId="0" applyFont="1" applyFill="1" applyAlignment="1" applyProtection="1">
      <alignment horizontal="centerContinuous"/>
    </xf>
    <xf numFmtId="0" fontId="29" fillId="0" borderId="0" xfId="0" applyFont="1" applyFill="1" applyAlignment="1" applyProtection="1">
      <alignment horizontal="centerContinuous"/>
    </xf>
    <xf numFmtId="166" fontId="29" fillId="0" borderId="0" xfId="0" applyNumberFormat="1" applyFont="1" applyFill="1" applyAlignment="1">
      <alignment horizontal="centerContinuous"/>
    </xf>
    <xf numFmtId="0" fontId="29" fillId="0" borderId="1" xfId="0" applyFont="1" applyFill="1" applyBorder="1"/>
    <xf numFmtId="0" fontId="29" fillId="0" borderId="23" xfId="0" applyFont="1" applyFill="1" applyBorder="1" applyAlignment="1">
      <alignment horizontal="centerContinuous"/>
    </xf>
    <xf numFmtId="0" fontId="29" fillId="0" borderId="23" xfId="0" applyFont="1" applyFill="1" applyBorder="1" applyAlignment="1"/>
    <xf numFmtId="0" fontId="29" fillId="0" borderId="1" xfId="0" applyFont="1" applyFill="1" applyBorder="1" applyAlignment="1"/>
    <xf numFmtId="0" fontId="29" fillId="0" borderId="38" xfId="0" applyFont="1" applyFill="1" applyBorder="1" applyAlignment="1" applyProtection="1">
      <alignment horizontal="centerContinuous"/>
      <protection locked="0"/>
    </xf>
    <xf numFmtId="0" fontId="29" fillId="0" borderId="23" xfId="0" applyFont="1" applyFill="1" applyBorder="1" applyAlignment="1" applyProtection="1">
      <alignment horizontal="center"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/>
    <xf numFmtId="0" fontId="29" fillId="0" borderId="5" xfId="0" applyFont="1" applyFill="1" applyBorder="1" applyAlignment="1" applyProtection="1">
      <protection locked="0"/>
    </xf>
    <xf numFmtId="0" fontId="29" fillId="0" borderId="2" xfId="0" applyFont="1" applyFill="1" applyBorder="1" applyAlignment="1" applyProtection="1">
      <alignment horizontal="center"/>
      <protection locked="0"/>
    </xf>
    <xf numFmtId="0" fontId="29" fillId="0" borderId="5" xfId="0" applyFont="1" applyFill="1" applyBorder="1" applyAlignment="1" applyProtection="1">
      <alignment horizontal="center"/>
      <protection locked="0"/>
    </xf>
    <xf numFmtId="0" fontId="29" fillId="0" borderId="17" xfId="0" applyFont="1" applyFill="1" applyBorder="1" applyAlignment="1"/>
    <xf numFmtId="0" fontId="29" fillId="0" borderId="55" xfId="0" applyFont="1" applyFill="1" applyBorder="1" applyAlignment="1"/>
    <xf numFmtId="0" fontId="29" fillId="0" borderId="1" xfId="0" applyFont="1" applyFill="1" applyBorder="1" applyAlignment="1">
      <alignment horizontal="centerContinuous"/>
    </xf>
    <xf numFmtId="0" fontId="29" fillId="0" borderId="38" xfId="0" applyFont="1" applyFill="1" applyBorder="1" applyAlignment="1">
      <alignment horizontal="centerContinuous" wrapText="1"/>
    </xf>
    <xf numFmtId="16" fontId="29" fillId="0" borderId="2" xfId="0" applyNumberFormat="1" applyFont="1" applyFill="1" applyBorder="1" applyAlignment="1">
      <alignment horizontal="centerContinuous"/>
    </xf>
    <xf numFmtId="3" fontId="29" fillId="0" borderId="2" xfId="0" applyNumberFormat="1" applyFont="1" applyFill="1" applyBorder="1" applyAlignment="1" applyProtection="1">
      <alignment horizontal="right"/>
      <protection locked="0"/>
    </xf>
    <xf numFmtId="16" fontId="29" fillId="0" borderId="8" xfId="0" quotePrefix="1" applyNumberFormat="1" applyFont="1" applyFill="1" applyBorder="1" applyAlignment="1">
      <alignment horizontal="centerContinuous"/>
    </xf>
    <xf numFmtId="0" fontId="29" fillId="0" borderId="8" xfId="0" quotePrefix="1" applyFont="1" applyFill="1" applyBorder="1" applyAlignment="1">
      <alignment horizontal="centerContinuous"/>
    </xf>
    <xf numFmtId="0" fontId="29" fillId="0" borderId="8" xfId="0" applyFont="1" applyFill="1" applyBorder="1" applyAlignment="1">
      <alignment horizontal="centerContinuous"/>
    </xf>
    <xf numFmtId="3" fontId="29" fillId="0" borderId="14" xfId="0" applyNumberFormat="1" applyFont="1" applyFill="1" applyBorder="1" applyAlignment="1" applyProtection="1">
      <alignment horizontal="right"/>
      <protection locked="0"/>
    </xf>
    <xf numFmtId="3" fontId="29" fillId="0" borderId="8" xfId="0" applyNumberFormat="1" applyFont="1" applyFill="1" applyBorder="1" applyAlignment="1" applyProtection="1">
      <alignment horizontal="right"/>
      <protection locked="0"/>
    </xf>
    <xf numFmtId="3" fontId="29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Protection="1">
      <protection locked="0"/>
    </xf>
    <xf numFmtId="0" fontId="3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70" fontId="29" fillId="0" borderId="38" xfId="0" applyNumberFormat="1" applyFont="1" applyFill="1" applyBorder="1" applyAlignment="1" applyProtection="1">
      <alignment horizontal="centerContinuous"/>
      <protection locked="0"/>
    </xf>
    <xf numFmtId="170" fontId="29" fillId="0" borderId="23" xfId="0" applyNumberFormat="1" applyFont="1" applyFill="1" applyBorder="1" applyAlignment="1" applyProtection="1">
      <alignment horizontal="center"/>
      <protection locked="0"/>
    </xf>
    <xf numFmtId="170" fontId="29" fillId="0" borderId="5" xfId="0" applyNumberFormat="1" applyFont="1" applyFill="1" applyBorder="1" applyAlignment="1" applyProtection="1">
      <protection locked="0"/>
    </xf>
    <xf numFmtId="170" fontId="29" fillId="0" borderId="2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2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4" fillId="0" borderId="27" xfId="0" applyFont="1" applyFill="1" applyBorder="1"/>
    <xf numFmtId="3" fontId="4" fillId="0" borderId="2" xfId="0" applyNumberFormat="1" applyFont="1" applyFill="1" applyBorder="1" applyProtection="1">
      <protection locked="0"/>
    </xf>
    <xf numFmtId="0" fontId="4" fillId="0" borderId="2" xfId="0" applyFont="1" applyFill="1" applyBorder="1"/>
    <xf numFmtId="3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/>
    <xf numFmtId="3" fontId="4" fillId="0" borderId="23" xfId="0" applyNumberFormat="1" applyFont="1" applyFill="1" applyBorder="1" applyProtection="1">
      <protection locked="0"/>
    </xf>
    <xf numFmtId="0" fontId="6" fillId="0" borderId="16" xfId="0" applyFont="1" applyFill="1" applyBorder="1"/>
    <xf numFmtId="41" fontId="4" fillId="0" borderId="0" xfId="0" applyNumberFormat="1" applyFont="1" applyFill="1" applyBorder="1"/>
    <xf numFmtId="3" fontId="65" fillId="0" borderId="18" xfId="0" applyNumberFormat="1" applyFont="1" applyFill="1" applyBorder="1" applyProtection="1">
      <protection locked="0"/>
    </xf>
    <xf numFmtId="0" fontId="65" fillId="0" borderId="0" xfId="0" applyFont="1" applyFill="1"/>
    <xf numFmtId="3" fontId="65" fillId="0" borderId="2" xfId="0" applyNumberFormat="1" applyFont="1" applyFill="1" applyBorder="1" applyProtection="1">
      <protection locked="0"/>
    </xf>
    <xf numFmtId="0" fontId="62" fillId="0" borderId="0" xfId="0" applyFont="1" applyFill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Protection="1">
      <protection locked="0"/>
    </xf>
    <xf numFmtId="0" fontId="4" fillId="0" borderId="56" xfId="0" applyFont="1" applyFill="1" applyBorder="1" applyProtection="1">
      <protection locked="0"/>
    </xf>
    <xf numFmtId="0" fontId="4" fillId="0" borderId="57" xfId="0" applyFon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41" fontId="4" fillId="0" borderId="2" xfId="0" applyNumberFormat="1" applyFont="1" applyFill="1" applyBorder="1" applyProtection="1">
      <protection locked="0"/>
    </xf>
    <xf numFmtId="0" fontId="4" fillId="0" borderId="0" xfId="0" applyFont="1" applyFill="1" applyProtection="1"/>
    <xf numFmtId="1" fontId="17" fillId="0" borderId="0" xfId="0" applyNumberFormat="1" applyFont="1" applyFill="1" applyAlignment="1">
      <alignment horizontal="center"/>
    </xf>
    <xf numFmtId="0" fontId="29" fillId="0" borderId="37" xfId="12" applyFont="1" applyFill="1" applyBorder="1" applyAlignment="1" applyProtection="1">
      <protection locked="0"/>
    </xf>
    <xf numFmtId="38" fontId="29" fillId="0" borderId="10" xfId="0" applyNumberFormat="1" applyFont="1" applyFill="1" applyBorder="1" applyProtection="1">
      <protection locked="0"/>
    </xf>
    <xf numFmtId="0" fontId="67" fillId="0" borderId="11" xfId="12" applyFont="1" applyFill="1" applyBorder="1" applyAlignment="1" applyProtection="1">
      <protection locked="0"/>
    </xf>
    <xf numFmtId="38" fontId="29" fillId="0" borderId="7" xfId="0" applyNumberFormat="1" applyFont="1" applyFill="1" applyBorder="1" applyProtection="1">
      <protection locked="0"/>
    </xf>
    <xf numFmtId="38" fontId="29" fillId="0" borderId="8" xfId="0" applyNumberFormat="1" applyFont="1" applyFill="1" applyBorder="1" applyProtection="1">
      <protection locked="0"/>
    </xf>
    <xf numFmtId="0" fontId="67" fillId="0" borderId="37" xfId="12" applyFont="1" applyFill="1" applyBorder="1" applyAlignment="1" applyProtection="1">
      <protection locked="0"/>
    </xf>
    <xf numFmtId="1" fontId="17" fillId="0" borderId="0" xfId="0" applyNumberFormat="1" applyFont="1" applyFill="1" applyAlignment="1" applyProtection="1">
      <alignment horizontal="center"/>
    </xf>
    <xf numFmtId="0" fontId="17" fillId="0" borderId="37" xfId="0" applyFont="1" applyFill="1" applyBorder="1" applyProtection="1">
      <protection locked="0"/>
    </xf>
    <xf numFmtId="38" fontId="17" fillId="0" borderId="1" xfId="0" applyNumberFormat="1" applyFont="1" applyFill="1" applyBorder="1" applyProtection="1">
      <protection locked="0"/>
    </xf>
    <xf numFmtId="0" fontId="68" fillId="0" borderId="0" xfId="0" quotePrefix="1" applyFont="1" applyFill="1" applyBorder="1" applyAlignment="1" applyProtection="1">
      <alignment horizontal="center"/>
    </xf>
    <xf numFmtId="0" fontId="68" fillId="0" borderId="0" xfId="0" applyFont="1" applyFill="1" applyBorder="1" applyAlignment="1" applyProtection="1">
      <alignment horizontal="center"/>
    </xf>
    <xf numFmtId="0" fontId="17" fillId="0" borderId="0" xfId="0" quotePrefix="1" applyFont="1" applyFill="1" applyBorder="1" applyAlignment="1" applyProtection="1">
      <alignment horizontal="center"/>
    </xf>
    <xf numFmtId="0" fontId="4" fillId="14" borderId="0" xfId="0" applyFont="1" applyFill="1"/>
    <xf numFmtId="3" fontId="38" fillId="0" borderId="8" xfId="0" applyNumberFormat="1" applyFont="1" applyFill="1" applyBorder="1" applyAlignment="1" applyProtection="1">
      <protection locked="0"/>
    </xf>
    <xf numFmtId="3" fontId="38" fillId="0" borderId="0" xfId="0" applyNumberFormat="1" applyFont="1" applyFill="1" applyBorder="1" applyAlignment="1" applyProtection="1">
      <alignment horizontal="centerContinuous"/>
      <protection locked="0"/>
    </xf>
    <xf numFmtId="1" fontId="40" fillId="0" borderId="0" xfId="0" applyNumberFormat="1" applyFont="1" applyFill="1" applyBorder="1" applyAlignment="1">
      <alignment horizontal="left"/>
    </xf>
    <xf numFmtId="3" fontId="15" fillId="0" borderId="3" xfId="0" applyNumberFormat="1" applyFont="1" applyFill="1" applyBorder="1" applyProtection="1"/>
    <xf numFmtId="3" fontId="0" fillId="0" borderId="0" xfId="0" applyNumberFormat="1" applyFill="1"/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>
      <alignment horizontal="left" indent="2"/>
    </xf>
    <xf numFmtId="0" fontId="29" fillId="0" borderId="0" xfId="0" applyFont="1" applyFill="1" applyBorder="1" applyAlignment="1">
      <alignment horizontal="left" wrapText="1" indent="2"/>
    </xf>
    <xf numFmtId="1" fontId="39" fillId="0" borderId="0" xfId="0" applyNumberFormat="1" applyFont="1" applyFill="1" applyBorder="1" applyAlignment="1">
      <alignment horizontal="left" indent="2"/>
    </xf>
    <xf numFmtId="1" fontId="45" fillId="0" borderId="18" xfId="0" applyNumberFormat="1" applyFont="1" applyFill="1" applyBorder="1" applyAlignment="1" applyProtection="1">
      <alignment wrapText="1"/>
    </xf>
    <xf numFmtId="1" fontId="39" fillId="0" borderId="18" xfId="0" applyNumberFormat="1" applyFont="1" applyFill="1" applyBorder="1" applyAlignment="1" applyProtection="1">
      <alignment wrapText="1"/>
      <protection locked="0"/>
    </xf>
    <xf numFmtId="1" fontId="0" fillId="0" borderId="0" xfId="0" applyNumberFormat="1"/>
    <xf numFmtId="0" fontId="15" fillId="0" borderId="0" xfId="22" applyFont="1" applyFill="1" applyBorder="1"/>
    <xf numFmtId="3" fontId="15" fillId="0" borderId="0" xfId="22" applyNumberFormat="1" applyFont="1" applyFill="1" applyBorder="1" applyProtection="1"/>
    <xf numFmtId="0" fontId="29" fillId="0" borderId="0" xfId="22" applyFont="1" applyFill="1" applyBorder="1"/>
    <xf numFmtId="0" fontId="17" fillId="0" borderId="0" xfId="0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left"/>
    </xf>
    <xf numFmtId="0" fontId="29" fillId="0" borderId="0" xfId="0" quotePrefix="1" applyFont="1" applyFill="1" applyBorder="1" applyAlignment="1" applyProtection="1">
      <alignment horizontal="left"/>
    </xf>
    <xf numFmtId="1" fontId="39" fillId="0" borderId="0" xfId="0" quotePrefix="1" applyNumberFormat="1" applyFont="1" applyFill="1" applyBorder="1" applyAlignment="1">
      <alignment horizontal="left"/>
    </xf>
    <xf numFmtId="0" fontId="10" fillId="0" borderId="0" xfId="21" applyFont="1" applyFill="1"/>
    <xf numFmtId="1" fontId="10" fillId="0" borderId="0" xfId="21" applyNumberFormat="1" applyFont="1" applyFill="1"/>
    <xf numFmtId="172" fontId="10" fillId="0" borderId="0" xfId="21" applyNumberFormat="1" applyFont="1" applyFill="1"/>
    <xf numFmtId="0" fontId="10" fillId="0" borderId="0" xfId="21" applyFont="1" applyFill="1" applyBorder="1"/>
    <xf numFmtId="0" fontId="36" fillId="15" borderId="0" xfId="21" applyNumberFormat="1" applyFont="1" applyFill="1" applyBorder="1" applyAlignment="1">
      <alignment vertical="top"/>
    </xf>
    <xf numFmtId="37" fontId="0" fillId="0" borderId="0" xfId="0" applyNumberFormat="1"/>
    <xf numFmtId="0" fontId="18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8" fillId="0" borderId="0" xfId="0" quotePrefix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3" fontId="0" fillId="0" borderId="0" xfId="0" quotePrefix="1" applyNumberFormat="1"/>
    <xf numFmtId="3" fontId="4" fillId="0" borderId="0" xfId="0" applyNumberFormat="1" applyFont="1"/>
    <xf numFmtId="0" fontId="3" fillId="0" borderId="0" xfId="0" applyNumberFormat="1" applyFont="1" applyFill="1"/>
    <xf numFmtId="1" fontId="39" fillId="0" borderId="0" xfId="0" applyNumberFormat="1" applyFont="1" applyFill="1" applyBorder="1" applyAlignment="1">
      <alignment horizontal="left" indent="1"/>
    </xf>
    <xf numFmtId="3" fontId="29" fillId="0" borderId="0" xfId="22" applyNumberFormat="1" applyFont="1" applyFill="1" applyBorder="1" applyAlignment="1" applyProtection="1">
      <alignment horizontal="left" indent="1"/>
    </xf>
    <xf numFmtId="0" fontId="8" fillId="12" borderId="47" xfId="12" applyFill="1" applyBorder="1" applyAlignment="1" applyProtection="1">
      <protection locked="0"/>
    </xf>
    <xf numFmtId="0" fontId="0" fillId="0" borderId="0" xfId="0" applyProtection="1">
      <protection locked="0"/>
    </xf>
    <xf numFmtId="38" fontId="29" fillId="0" borderId="1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0" fillId="0" borderId="16" xfId="0" applyFont="1" applyFill="1" applyBorder="1" applyProtection="1">
      <protection locked="0"/>
    </xf>
    <xf numFmtId="165" fontId="19" fillId="0" borderId="16" xfId="0" quotePrefix="1" applyNumberFormat="1" applyFont="1" applyFill="1" applyBorder="1" applyAlignment="1" applyProtection="1">
      <alignment horizontal="center"/>
      <protection locked="0"/>
    </xf>
    <xf numFmtId="0" fontId="0" fillId="16" borderId="0" xfId="0" applyNumberFormat="1" applyFill="1"/>
    <xf numFmtId="0" fontId="69" fillId="0" borderId="0" xfId="0" applyFont="1"/>
    <xf numFmtId="0" fontId="73" fillId="11" borderId="50" xfId="0" applyFont="1" applyFill="1" applyBorder="1" applyAlignment="1">
      <alignment horizontal="center"/>
    </xf>
    <xf numFmtId="0" fontId="73" fillId="11" borderId="31" xfId="0" applyFont="1" applyFill="1" applyBorder="1" applyAlignment="1">
      <alignment horizontal="center"/>
    </xf>
    <xf numFmtId="0" fontId="73" fillId="11" borderId="51" xfId="0" applyFont="1" applyFill="1" applyBorder="1" applyAlignment="1">
      <alignment horizontal="center"/>
    </xf>
    <xf numFmtId="171" fontId="33" fillId="2" borderId="58" xfId="0" applyNumberFormat="1" applyFont="1" applyFill="1" applyBorder="1" applyAlignment="1" applyProtection="1">
      <alignment horizontal="center"/>
      <protection locked="0"/>
    </xf>
    <xf numFmtId="171" fontId="33" fillId="2" borderId="59" xfId="0" applyNumberFormat="1" applyFont="1" applyFill="1" applyBorder="1" applyAlignment="1" applyProtection="1">
      <alignment horizontal="center"/>
      <protection locked="0"/>
    </xf>
    <xf numFmtId="171" fontId="33" fillId="2" borderId="60" xfId="0" applyNumberFormat="1" applyFont="1" applyFill="1" applyBorder="1" applyAlignment="1" applyProtection="1">
      <alignment horizontal="center"/>
      <protection locked="0"/>
    </xf>
    <xf numFmtId="0" fontId="71" fillId="11" borderId="48" xfId="0" applyFont="1" applyFill="1" applyBorder="1" applyAlignment="1">
      <alignment horizontal="center"/>
    </xf>
    <xf numFmtId="0" fontId="71" fillId="11" borderId="0" xfId="0" applyFont="1" applyFill="1" applyBorder="1" applyAlignment="1">
      <alignment horizontal="center"/>
    </xf>
    <xf numFmtId="0" fontId="71" fillId="11" borderId="49" xfId="0" applyFont="1" applyFill="1" applyBorder="1" applyAlignment="1">
      <alignment horizontal="center"/>
    </xf>
    <xf numFmtId="0" fontId="73" fillId="11" borderId="48" xfId="0" applyFont="1" applyFill="1" applyBorder="1" applyAlignment="1">
      <alignment horizontal="center"/>
    </xf>
    <xf numFmtId="0" fontId="73" fillId="11" borderId="0" xfId="0" applyFont="1" applyFill="1" applyBorder="1" applyAlignment="1">
      <alignment horizontal="center"/>
    </xf>
    <xf numFmtId="0" fontId="73" fillId="11" borderId="49" xfId="0" applyFont="1" applyFill="1" applyBorder="1" applyAlignment="1">
      <alignment horizontal="center"/>
    </xf>
    <xf numFmtId="0" fontId="75" fillId="11" borderId="48" xfId="0" applyFont="1" applyFill="1" applyBorder="1" applyAlignment="1">
      <alignment horizontal="center"/>
    </xf>
    <xf numFmtId="0" fontId="75" fillId="11" borderId="0" xfId="0" applyFont="1" applyFill="1" applyBorder="1" applyAlignment="1">
      <alignment horizontal="center"/>
    </xf>
    <xf numFmtId="0" fontId="75" fillId="11" borderId="49" xfId="0" applyFont="1" applyFill="1" applyBorder="1" applyAlignment="1">
      <alignment horizontal="center"/>
    </xf>
    <xf numFmtId="171" fontId="76" fillId="2" borderId="58" xfId="0" applyNumberFormat="1" applyFont="1" applyFill="1" applyBorder="1" applyAlignment="1" applyProtection="1">
      <alignment horizontal="center"/>
      <protection locked="0"/>
    </xf>
    <xf numFmtId="0" fontId="77" fillId="0" borderId="59" xfId="0" applyFont="1" applyBorder="1" applyAlignment="1" applyProtection="1">
      <alignment horizontal="center"/>
      <protection locked="0"/>
    </xf>
    <xf numFmtId="0" fontId="77" fillId="0" borderId="60" xfId="0" applyFont="1" applyBorder="1" applyAlignment="1" applyProtection="1">
      <alignment horizontal="center"/>
      <protection locked="0"/>
    </xf>
    <xf numFmtId="0" fontId="74" fillId="2" borderId="58" xfId="0" applyFont="1" applyFill="1" applyBorder="1" applyAlignment="1" applyProtection="1">
      <alignment horizontal="center"/>
      <protection locked="0"/>
    </xf>
    <xf numFmtId="0" fontId="74" fillId="2" borderId="59" xfId="0" applyFont="1" applyFill="1" applyBorder="1" applyAlignment="1" applyProtection="1">
      <alignment horizontal="center"/>
      <protection locked="0"/>
    </xf>
    <xf numFmtId="0" fontId="74" fillId="2" borderId="60" xfId="0" applyFont="1" applyFill="1" applyBorder="1" applyAlignment="1" applyProtection="1">
      <alignment horizontal="center"/>
      <protection locked="0"/>
    </xf>
    <xf numFmtId="1" fontId="42" fillId="0" borderId="27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ill="1" applyBorder="1" applyAlignment="1" applyProtection="1">
      <alignment horizontal="center" vertical="center" wrapText="1"/>
    </xf>
    <xf numFmtId="1" fontId="42" fillId="0" borderId="27" xfId="0" applyNumberFormat="1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 applyProtection="1">
      <alignment horizontal="center" vertical="center"/>
    </xf>
    <xf numFmtId="1" fontId="42" fillId="0" borderId="19" xfId="0" applyNumberFormat="1" applyFont="1" applyFill="1" applyBorder="1" applyAlignment="1" applyProtection="1">
      <alignment horizontal="center" wrapText="1"/>
    </xf>
    <xf numFmtId="1" fontId="43" fillId="0" borderId="38" xfId="0" applyNumberFormat="1" applyFont="1" applyFill="1" applyBorder="1" applyAlignment="1" applyProtection="1">
      <alignment horizontal="center" wrapText="1"/>
    </xf>
    <xf numFmtId="1" fontId="43" fillId="0" borderId="20" xfId="0" applyNumberFormat="1" applyFont="1" applyFill="1" applyBorder="1" applyAlignment="1" applyProtection="1">
      <alignment horizontal="center" wrapText="1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wrapText="1"/>
    </xf>
    <xf numFmtId="0" fontId="36" fillId="0" borderId="0" xfId="21" applyNumberFormat="1" applyFont="1" applyFill="1" applyAlignment="1">
      <alignment horizontal="center"/>
    </xf>
  </cellXfs>
  <cellStyles count="49">
    <cellStyle name="%" xfId="33"/>
    <cellStyle name="AI" xfId="1"/>
    <cellStyle name="Automatic" xfId="2"/>
    <cellStyle name="Automatic 2" xfId="41"/>
    <cellStyle name="Calculated" xfId="3"/>
    <cellStyle name="Calculated 2" xfId="42"/>
    <cellStyle name="check" xfId="4"/>
    <cellStyle name="CI" xfId="5"/>
    <cellStyle name="Comma" xfId="6" builtinId="3"/>
    <cellStyle name="Comma 8" xfId="34"/>
    <cellStyle name="Contril Item" xfId="7"/>
    <cellStyle name="Contril Item 2" xfId="43"/>
    <cellStyle name="Control Item" xfId="8"/>
    <cellStyle name="DEI" xfId="9"/>
    <cellStyle name="Error" xfId="10"/>
    <cellStyle name="Exchange Rate" xfId="11"/>
    <cellStyle name="Hyperlink" xfId="12" builtinId="8"/>
    <cellStyle name="Hyperlink 2" xfId="35"/>
    <cellStyle name="Incomplete" xfId="13"/>
    <cellStyle name="Input Indirect" xfId="14"/>
    <cellStyle name="Input Indirect 2" xfId="44"/>
    <cellStyle name="Input Numbers" xfId="15"/>
    <cellStyle name="Input Subtotal" xfId="16"/>
    <cellStyle name="Input Text" xfId="17"/>
    <cellStyle name="Input Text 2" xfId="45"/>
    <cellStyle name="Negatif  Numbers" xfId="18"/>
    <cellStyle name="Normal" xfId="0" builtinId="0"/>
    <cellStyle name="Normal 2" xfId="32"/>
    <cellStyle name="Normal 2 2" xfId="39"/>
    <cellStyle name="Normal 3" xfId="40"/>
    <cellStyle name="Normal Col" xfId="19"/>
    <cellStyle name="Normal Col 2" xfId="46"/>
    <cellStyle name="Normal color" xfId="20"/>
    <cellStyle name="Normal_CB20ASCI" xfId="21"/>
    <cellStyle name="Normal_FISD QUATERLY RETURN LIFE AND GENERAL INS 1st DRAFT" xfId="22"/>
    <cellStyle name="Normal_Sheet1" xfId="23"/>
    <cellStyle name="Note 2" xfId="36"/>
    <cellStyle name="Percent 2" xfId="37"/>
    <cellStyle name="Protect" xfId="24"/>
    <cellStyle name="Protect blue" xfId="25"/>
    <cellStyle name="Protect blue 2" xfId="47"/>
    <cellStyle name="Sub Totals" xfId="26"/>
    <cellStyle name="SUBHEAD" xfId="27"/>
    <cellStyle name="Text" xfId="28"/>
    <cellStyle name="Text Read Only" xfId="29"/>
    <cellStyle name="Text Read Only 2" xfId="48"/>
    <cellStyle name="Total" xfId="30" builtinId="25" customBuiltin="1"/>
    <cellStyle name="Total 2" xfId="38"/>
    <cellStyle name="Unprotect" xfId="31"/>
  </cellStyles>
  <dxfs count="3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32</xdr:row>
      <xdr:rowOff>0</xdr:rowOff>
    </xdr:from>
    <xdr:to>
      <xdr:col>9</xdr:col>
      <xdr:colOff>880089</xdr:colOff>
      <xdr:row>32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229475" y="5543550"/>
          <a:ext cx="18764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of which: NON-RESIDENTS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Desktop\ARAS\Life%20Minifilings%20V2.7a%20used%20for%20filing%20year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chiers\P&amp;C-1\P&amp;C1V900.WK4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NEW%20FISD\POFI\POFI%20Shared\Insurance\Insurance%20forms%202018\Dec.%202020%20-%20Insurance%20Returns\Final%20-%20December%2021,%202020\AppData\Local\Microsoft\Windows\Temporary%20Internet%20Files\Content.Outlook\ATF7GL9U\Proposed%20Quarterly%20Returns%20(unprotected)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7%20working%20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AS\Life%20Minifilings%20V2.7a%20used%20for%20filing%20year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ntral-bank.org.tt/FISD%20Shared/Annual%20Returns/Annual%20Returns%20V1.2%20asc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Desktop\Life%20Minifilings%20V2.7a%20used%20for%20filing%20year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dx\Desktop\General%20Minifilings%20V2.6.9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Local%20Settings\Temporary%20Internet%20Files\OLK3B\Asset%20Database%205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ulation\Annual%20returns\Colfire%20Annual%20returns%20V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FISD%20QUATERLY%20RETURN%20LIFE%20AND%20GENERAL%20INS%201st%20DRAF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Subrogation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Subrogation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6%20working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 xml:space="preserve"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 refreshError="1">
        <row r="17">
          <cell r="F17">
            <v>220</v>
          </cell>
        </row>
      </sheetData>
      <sheetData sheetId="43" refreshError="1">
        <row r="17">
          <cell r="F17">
            <v>11650</v>
          </cell>
        </row>
      </sheetData>
      <sheetData sheetId="44" refreshError="1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5" refreshError="1"/>
      <sheetData sheetId="46" refreshError="1">
        <row r="59">
          <cell r="D59">
            <v>7598417</v>
          </cell>
        </row>
      </sheetData>
      <sheetData sheetId="47" refreshError="1"/>
      <sheetData sheetId="48" refreshError="1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 refreshError="1">
        <row r="34">
          <cell r="F34">
            <v>42029</v>
          </cell>
        </row>
        <row r="54">
          <cell r="F54">
            <v>0</v>
          </cell>
        </row>
      </sheetData>
      <sheetData sheetId="50" refreshError="1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 refreshError="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2" refreshError="1"/>
      <sheetData sheetId="53" refreshError="1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20"/>
      <sheetName val="10.30"/>
      <sheetName val="10.40"/>
      <sheetName val="10.41"/>
      <sheetName val="10.42"/>
      <sheetName val="10.50"/>
      <sheetName val="10.60"/>
      <sheetName val="20.10"/>
      <sheetName val="20.20"/>
      <sheetName val="20.30"/>
      <sheetName val="20.40"/>
      <sheetName val="20.52"/>
      <sheetName val="20.60"/>
      <sheetName val="30.10"/>
      <sheetName val="30.11"/>
      <sheetName val="30.15"/>
      <sheetName val="30.20"/>
      <sheetName val="30.30"/>
      <sheetName val="30.40"/>
      <sheetName val="30.45"/>
      <sheetName val="30.50"/>
      <sheetName val="40.10"/>
      <sheetName val="40.20"/>
      <sheetName val="40.30A"/>
      <sheetName val="40.30B"/>
      <sheetName val="40.35A"/>
      <sheetName val="40.35B"/>
      <sheetName val="40.40"/>
      <sheetName val="40.45"/>
      <sheetName val="40.49"/>
      <sheetName val="40.50A"/>
      <sheetName val="40.50B"/>
      <sheetName val="40.60"/>
      <sheetName val="40.70A"/>
      <sheetName val="40.70B"/>
      <sheetName val="40.80"/>
      <sheetName val="40.90"/>
      <sheetName val="50.1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30"/>
      <sheetName val="60.40"/>
      <sheetName val="60.50"/>
      <sheetName val="65.10"/>
      <sheetName val="65.11"/>
      <sheetName val="67.10"/>
      <sheetName val="67.15"/>
      <sheetName val="67.20"/>
      <sheetName val="67.30"/>
      <sheetName val="70.10"/>
      <sheetName val="70.20A"/>
      <sheetName val="70.20B"/>
      <sheetName val="70.30A"/>
      <sheetName val="70.30B"/>
      <sheetName val="70.35A"/>
      <sheetName val="70.35B"/>
      <sheetName val="70.40A"/>
      <sheetName val="70.40B"/>
      <sheetName val="70.40C"/>
      <sheetName val="80.10"/>
      <sheetName val="80.20"/>
      <sheetName val="90.10"/>
      <sheetName val="90.15"/>
      <sheetName val="90.21"/>
      <sheetName val="90.22"/>
      <sheetName val="90.23"/>
      <sheetName val="90.61"/>
      <sheetName val="90.62"/>
      <sheetName val="90.63"/>
      <sheetName val="90.64"/>
      <sheetName val="90.65"/>
      <sheetName val="90.66"/>
      <sheetName val="90.67"/>
      <sheetName val="90.70A"/>
      <sheetName val="90.70B"/>
      <sheetName val="90.81"/>
      <sheetName val="90.82"/>
      <sheetName val="99.10"/>
      <sheetName val="Ratios"/>
      <sheetName val="Trans. Form"/>
      <sheetName val="Prev Crosscheck"/>
      <sheetName val="Prev Warnings"/>
      <sheetName val="Check"/>
      <sheetName val="Prev Dec."/>
      <sheetName val="Prev Text Rep"/>
      <sheetName val="Num. ASCII"/>
      <sheetName val="Text ASCII"/>
      <sheetName val="CW"/>
      <sheetName val="CX"/>
      <sheetName val="CY"/>
      <sheetName val="CZ"/>
      <sheetName val="DA"/>
      <sheetName val="DB"/>
      <sheetName val="Current"/>
    </sheetNames>
    <sheetDataSet>
      <sheetData sheetId="0"/>
      <sheetData sheetId="1" refreshError="1">
        <row r="1">
          <cell r="A1" t="str">
            <v>00</v>
          </cell>
          <cell r="B1" t="str">
            <v>P</v>
          </cell>
          <cell r="C1" t="str">
            <v>Y</v>
          </cell>
        </row>
        <row r="2">
          <cell r="B2" t="str">
            <v>Enter "Yes" if federal Certificate of Registry restricted to Reinsurance only</v>
          </cell>
          <cell r="E2" t="str">
            <v>No</v>
          </cell>
        </row>
        <row r="3">
          <cell r="B3" t="str">
            <v>Enter Company Code in Cell E51 at the Bottom of this Page.</v>
          </cell>
        </row>
        <row r="6">
          <cell r="D6">
            <v>19</v>
          </cell>
          <cell r="E6">
            <v>99</v>
          </cell>
        </row>
        <row r="10">
          <cell r="B10" t="str">
            <v>Cie d'Assurance Inc.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P&amp;C-1</v>
          </cell>
        </row>
        <row r="34">
          <cell r="B34" t="str">
            <v>Canadian</v>
          </cell>
        </row>
        <row r="35">
          <cell r="B35" t="str">
            <v>Property and Casualty Insurers</v>
          </cell>
        </row>
        <row r="43">
          <cell r="B43" t="str">
            <v>Jurisdiction of incorporation</v>
          </cell>
          <cell r="C43" t="str">
            <v/>
          </cell>
        </row>
        <row r="49">
          <cell r="A49" t="str">
            <v>Uniform Annual Return approved by the Canadian Council of Insurance Regulators</v>
          </cell>
        </row>
        <row r="51">
          <cell r="B51" t="str">
            <v>Rev. 1999</v>
          </cell>
          <cell r="D51" t="str">
            <v>PRO/</v>
          </cell>
          <cell r="E51" t="str">
            <v>XXXX</v>
          </cell>
          <cell r="F51" t="str">
            <v>(Company Code)</v>
          </cell>
        </row>
        <row r="52">
          <cell r="B52" t="str">
            <v>2002/3/26 11:0</v>
          </cell>
        </row>
      </sheetData>
      <sheetData sheetId="2" refreshError="1">
        <row r="1">
          <cell r="A1" t="str">
            <v>1000</v>
          </cell>
        </row>
      </sheetData>
      <sheetData sheetId="3" refreshError="1">
        <row r="1">
          <cell r="A1" t="str">
            <v>1010</v>
          </cell>
        </row>
      </sheetData>
      <sheetData sheetId="4" refreshError="1">
        <row r="1">
          <cell r="A1" t="str">
            <v>1015</v>
          </cell>
        </row>
      </sheetData>
      <sheetData sheetId="5" refreshError="1">
        <row r="1">
          <cell r="A1" t="str">
            <v>1016</v>
          </cell>
        </row>
      </sheetData>
      <sheetData sheetId="6" refreshError="1">
        <row r="1">
          <cell r="A1" t="str">
            <v>1020</v>
          </cell>
        </row>
      </sheetData>
      <sheetData sheetId="7" refreshError="1">
        <row r="1">
          <cell r="A1" t="str">
            <v>1030</v>
          </cell>
        </row>
      </sheetData>
      <sheetData sheetId="8" refreshError="1">
        <row r="1">
          <cell r="A1" t="str">
            <v>1040</v>
          </cell>
        </row>
      </sheetData>
      <sheetData sheetId="9" refreshError="1">
        <row r="1">
          <cell r="A1" t="str">
            <v>1041</v>
          </cell>
        </row>
      </sheetData>
      <sheetData sheetId="10" refreshError="1">
        <row r="1">
          <cell r="A1" t="str">
            <v>1042</v>
          </cell>
        </row>
      </sheetData>
      <sheetData sheetId="11" refreshError="1">
        <row r="1">
          <cell r="A1" t="str">
            <v>1050</v>
          </cell>
        </row>
      </sheetData>
      <sheetData sheetId="12" refreshError="1">
        <row r="1">
          <cell r="A1" t="str">
            <v>1060</v>
          </cell>
        </row>
      </sheetData>
      <sheetData sheetId="13" refreshError="1">
        <row r="1">
          <cell r="A1" t="str">
            <v>2010</v>
          </cell>
        </row>
      </sheetData>
      <sheetData sheetId="14" refreshError="1">
        <row r="1">
          <cell r="A1" t="str">
            <v>2020</v>
          </cell>
        </row>
      </sheetData>
      <sheetData sheetId="15" refreshError="1">
        <row r="1">
          <cell r="A1" t="str">
            <v>2030</v>
          </cell>
        </row>
      </sheetData>
      <sheetData sheetId="16" refreshError="1">
        <row r="1">
          <cell r="A1" t="str">
            <v>2040</v>
          </cell>
        </row>
      </sheetData>
      <sheetData sheetId="17" refreshError="1">
        <row r="1">
          <cell r="A1" t="str">
            <v>2052</v>
          </cell>
        </row>
      </sheetData>
      <sheetData sheetId="18" refreshError="1">
        <row r="1">
          <cell r="A1" t="str">
            <v>2060</v>
          </cell>
        </row>
      </sheetData>
      <sheetData sheetId="19" refreshError="1">
        <row r="1">
          <cell r="A1" t="str">
            <v>3010</v>
          </cell>
        </row>
      </sheetData>
      <sheetData sheetId="20" refreshError="1">
        <row r="1">
          <cell r="A1" t="str">
            <v>3011</v>
          </cell>
        </row>
      </sheetData>
      <sheetData sheetId="21" refreshError="1">
        <row r="1">
          <cell r="A1" t="str">
            <v>3015</v>
          </cell>
        </row>
      </sheetData>
      <sheetData sheetId="22" refreshError="1">
        <row r="1">
          <cell r="A1" t="str">
            <v>3020</v>
          </cell>
        </row>
      </sheetData>
      <sheetData sheetId="23" refreshError="1">
        <row r="1">
          <cell r="A1" t="str">
            <v>3030</v>
          </cell>
        </row>
      </sheetData>
      <sheetData sheetId="24" refreshError="1">
        <row r="1">
          <cell r="A1" t="str">
            <v>3040</v>
          </cell>
        </row>
      </sheetData>
      <sheetData sheetId="25" refreshError="1">
        <row r="1">
          <cell r="A1" t="str">
            <v>3045</v>
          </cell>
        </row>
      </sheetData>
      <sheetData sheetId="26" refreshError="1">
        <row r="1">
          <cell r="A1" t="str">
            <v>3050</v>
          </cell>
        </row>
      </sheetData>
      <sheetData sheetId="27" refreshError="1">
        <row r="1">
          <cell r="A1" t="str">
            <v>4010</v>
          </cell>
        </row>
      </sheetData>
      <sheetData sheetId="28" refreshError="1">
        <row r="1">
          <cell r="A1" t="str">
            <v>4020</v>
          </cell>
        </row>
      </sheetData>
      <sheetData sheetId="29" refreshError="1">
        <row r="1">
          <cell r="A1" t="str">
            <v>4030A</v>
          </cell>
        </row>
      </sheetData>
      <sheetData sheetId="30" refreshError="1">
        <row r="1">
          <cell r="A1" t="str">
            <v>4030B</v>
          </cell>
        </row>
      </sheetData>
      <sheetData sheetId="31" refreshError="1">
        <row r="1">
          <cell r="A1" t="str">
            <v>4035A</v>
          </cell>
        </row>
      </sheetData>
      <sheetData sheetId="32" refreshError="1">
        <row r="1">
          <cell r="A1" t="str">
            <v>4035B</v>
          </cell>
        </row>
      </sheetData>
      <sheetData sheetId="33" refreshError="1">
        <row r="1">
          <cell r="A1" t="str">
            <v>4040</v>
          </cell>
        </row>
      </sheetData>
      <sheetData sheetId="34" refreshError="1">
        <row r="1">
          <cell r="A1" t="str">
            <v>4045</v>
          </cell>
        </row>
      </sheetData>
      <sheetData sheetId="35" refreshError="1">
        <row r="1">
          <cell r="A1" t="str">
            <v>4049</v>
          </cell>
        </row>
      </sheetData>
      <sheetData sheetId="36" refreshError="1">
        <row r="1">
          <cell r="A1" t="str">
            <v>4050A</v>
          </cell>
        </row>
      </sheetData>
      <sheetData sheetId="37" refreshError="1">
        <row r="1">
          <cell r="A1" t="str">
            <v>4050B</v>
          </cell>
        </row>
      </sheetData>
      <sheetData sheetId="38" refreshError="1">
        <row r="1">
          <cell r="A1" t="str">
            <v>4060</v>
          </cell>
        </row>
      </sheetData>
      <sheetData sheetId="39" refreshError="1">
        <row r="1">
          <cell r="A1" t="str">
            <v>4070A</v>
          </cell>
        </row>
      </sheetData>
      <sheetData sheetId="40" refreshError="1">
        <row r="1">
          <cell r="A1" t="str">
            <v>4070B</v>
          </cell>
        </row>
      </sheetData>
      <sheetData sheetId="41" refreshError="1">
        <row r="1">
          <cell r="A1" t="str">
            <v>4080</v>
          </cell>
        </row>
      </sheetData>
      <sheetData sheetId="42" refreshError="1">
        <row r="1">
          <cell r="A1" t="str">
            <v>4090</v>
          </cell>
        </row>
      </sheetData>
      <sheetData sheetId="43" refreshError="1">
        <row r="1">
          <cell r="A1" t="str">
            <v>5010</v>
          </cell>
        </row>
      </sheetData>
      <sheetData sheetId="44" refreshError="1">
        <row r="1">
          <cell r="A1" t="str">
            <v>5020A</v>
          </cell>
        </row>
      </sheetData>
      <sheetData sheetId="45" refreshError="1">
        <row r="1">
          <cell r="A1" t="str">
            <v>5020B</v>
          </cell>
        </row>
      </sheetData>
      <sheetData sheetId="46" refreshError="1">
        <row r="1">
          <cell r="A1" t="str">
            <v>5030A</v>
          </cell>
        </row>
      </sheetData>
      <sheetData sheetId="47" refreshError="1">
        <row r="1">
          <cell r="A1" t="str">
            <v>5030B</v>
          </cell>
        </row>
      </sheetData>
      <sheetData sheetId="48" refreshError="1">
        <row r="1">
          <cell r="A1" t="str">
            <v>5040A</v>
          </cell>
        </row>
      </sheetData>
      <sheetData sheetId="49" refreshError="1">
        <row r="1">
          <cell r="A1" t="str">
            <v>5040B</v>
          </cell>
        </row>
      </sheetData>
      <sheetData sheetId="50" refreshError="1">
        <row r="1">
          <cell r="A1" t="str">
            <v>5050</v>
          </cell>
        </row>
      </sheetData>
      <sheetData sheetId="51" refreshError="1">
        <row r="1">
          <cell r="A1" t="str">
            <v>6010</v>
          </cell>
        </row>
      </sheetData>
      <sheetData sheetId="52" refreshError="1">
        <row r="1">
          <cell r="A1" t="str">
            <v>6020</v>
          </cell>
        </row>
      </sheetData>
      <sheetData sheetId="53" refreshError="1">
        <row r="1">
          <cell r="A1" t="str">
            <v>6030</v>
          </cell>
        </row>
      </sheetData>
      <sheetData sheetId="54" refreshError="1">
        <row r="1">
          <cell r="A1" t="str">
            <v>6040</v>
          </cell>
        </row>
      </sheetData>
      <sheetData sheetId="55" refreshError="1">
        <row r="1">
          <cell r="A1" t="str">
            <v>6050</v>
          </cell>
        </row>
      </sheetData>
      <sheetData sheetId="56" refreshError="1">
        <row r="1">
          <cell r="A1" t="str">
            <v>6510</v>
          </cell>
        </row>
      </sheetData>
      <sheetData sheetId="57" refreshError="1">
        <row r="1">
          <cell r="A1" t="str">
            <v>6511</v>
          </cell>
        </row>
      </sheetData>
      <sheetData sheetId="58" refreshError="1">
        <row r="1">
          <cell r="A1" t="str">
            <v>6710</v>
          </cell>
        </row>
      </sheetData>
      <sheetData sheetId="59" refreshError="1">
        <row r="1">
          <cell r="A1" t="str">
            <v>6715</v>
          </cell>
        </row>
      </sheetData>
      <sheetData sheetId="60" refreshError="1">
        <row r="1">
          <cell r="A1" t="str">
            <v>6720</v>
          </cell>
        </row>
      </sheetData>
      <sheetData sheetId="61" refreshError="1">
        <row r="1">
          <cell r="A1" t="str">
            <v>6730</v>
          </cell>
        </row>
      </sheetData>
      <sheetData sheetId="62" refreshError="1">
        <row r="1">
          <cell r="A1" t="str">
            <v>7010</v>
          </cell>
        </row>
      </sheetData>
      <sheetData sheetId="63" refreshError="1">
        <row r="1">
          <cell r="A1" t="str">
            <v>7020A</v>
          </cell>
        </row>
      </sheetData>
      <sheetData sheetId="64" refreshError="1">
        <row r="1">
          <cell r="A1" t="str">
            <v>7020B</v>
          </cell>
        </row>
      </sheetData>
      <sheetData sheetId="65" refreshError="1">
        <row r="1">
          <cell r="A1" t="str">
            <v>7030A</v>
          </cell>
        </row>
      </sheetData>
      <sheetData sheetId="66" refreshError="1">
        <row r="1">
          <cell r="A1" t="str">
            <v>7030B</v>
          </cell>
        </row>
      </sheetData>
      <sheetData sheetId="67" refreshError="1">
        <row r="1">
          <cell r="A1" t="str">
            <v>7035A</v>
          </cell>
        </row>
      </sheetData>
      <sheetData sheetId="68" refreshError="1">
        <row r="1">
          <cell r="A1" t="str">
            <v>7035B</v>
          </cell>
        </row>
      </sheetData>
      <sheetData sheetId="69" refreshError="1">
        <row r="1">
          <cell r="A1" t="str">
            <v>7040A</v>
          </cell>
        </row>
      </sheetData>
      <sheetData sheetId="70" refreshError="1">
        <row r="1">
          <cell r="A1" t="str">
            <v>7040B</v>
          </cell>
        </row>
      </sheetData>
      <sheetData sheetId="71" refreshError="1">
        <row r="1">
          <cell r="A1" t="str">
            <v>7040C</v>
          </cell>
        </row>
      </sheetData>
      <sheetData sheetId="72" refreshError="1">
        <row r="1">
          <cell r="A1" t="str">
            <v>8010</v>
          </cell>
        </row>
      </sheetData>
      <sheetData sheetId="73" refreshError="1">
        <row r="1">
          <cell r="A1" t="str">
            <v>8020</v>
          </cell>
        </row>
      </sheetData>
      <sheetData sheetId="74" refreshError="1">
        <row r="1">
          <cell r="A1" t="str">
            <v>9010</v>
          </cell>
        </row>
      </sheetData>
      <sheetData sheetId="75" refreshError="1">
        <row r="1">
          <cell r="A1" t="str">
            <v>9015</v>
          </cell>
        </row>
      </sheetData>
      <sheetData sheetId="76" refreshError="1">
        <row r="1">
          <cell r="A1" t="str">
            <v>9021</v>
          </cell>
        </row>
      </sheetData>
      <sheetData sheetId="77" refreshError="1">
        <row r="1">
          <cell r="A1" t="str">
            <v>9022</v>
          </cell>
        </row>
      </sheetData>
      <sheetData sheetId="78" refreshError="1">
        <row r="1">
          <cell r="A1" t="str">
            <v>9023</v>
          </cell>
        </row>
      </sheetData>
      <sheetData sheetId="79" refreshError="1">
        <row r="1">
          <cell r="A1" t="str">
            <v>9061</v>
          </cell>
        </row>
      </sheetData>
      <sheetData sheetId="80" refreshError="1">
        <row r="1">
          <cell r="A1" t="str">
            <v>9062</v>
          </cell>
        </row>
      </sheetData>
      <sheetData sheetId="81" refreshError="1">
        <row r="1">
          <cell r="A1" t="str">
            <v>9063</v>
          </cell>
        </row>
      </sheetData>
      <sheetData sheetId="82" refreshError="1">
        <row r="1">
          <cell r="A1" t="str">
            <v>9064</v>
          </cell>
        </row>
      </sheetData>
      <sheetData sheetId="83" refreshError="1">
        <row r="1">
          <cell r="A1" t="str">
            <v>9065</v>
          </cell>
        </row>
      </sheetData>
      <sheetData sheetId="84" refreshError="1">
        <row r="1">
          <cell r="A1" t="str">
            <v>9066</v>
          </cell>
        </row>
      </sheetData>
      <sheetData sheetId="85" refreshError="1">
        <row r="1">
          <cell r="A1" t="str">
            <v>9067</v>
          </cell>
        </row>
      </sheetData>
      <sheetData sheetId="86" refreshError="1">
        <row r="1">
          <cell r="A1" t="str">
            <v>9070A</v>
          </cell>
        </row>
      </sheetData>
      <sheetData sheetId="87" refreshError="1">
        <row r="1">
          <cell r="A1" t="str">
            <v>9070B</v>
          </cell>
        </row>
      </sheetData>
      <sheetData sheetId="88" refreshError="1">
        <row r="1">
          <cell r="A1" t="str">
            <v>9081</v>
          </cell>
        </row>
      </sheetData>
      <sheetData sheetId="89" refreshError="1">
        <row r="1">
          <cell r="A1" t="str">
            <v>9082</v>
          </cell>
        </row>
      </sheetData>
      <sheetData sheetId="90" refreshError="1">
        <row r="1">
          <cell r="A1" t="str">
            <v>9910</v>
          </cell>
        </row>
      </sheetData>
      <sheetData sheetId="91" refreshError="1">
        <row r="1">
          <cell r="A1" t="str">
            <v>RATIO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B40"/>
      <sheetName val="CB20"/>
      <sheetName val="1A"/>
      <sheetName val="1B"/>
      <sheetName val="CB201"/>
      <sheetName val="CB202"/>
      <sheetName val="Stat Fund-LT"/>
      <sheetName val="Stat Deposit"/>
      <sheetName val="Stat Fund-MV"/>
      <sheetName val="Notes"/>
      <sheetName val="Codes"/>
      <sheetName val="INSASCII"/>
    </sheetNames>
    <sheetDataSet>
      <sheetData sheetId="0">
        <row r="7">
          <cell r="B7" t="str">
            <v xml:space="preserve"> SELECT INSURANCE COMPANY</v>
          </cell>
        </row>
        <row r="10">
          <cell r="B10">
            <v>43921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 xml:space="preserve"> SELECT INSURANCE COMPANY</v>
          </cell>
        </row>
        <row r="2">
          <cell r="B2" t="str">
            <v>Assuria Life (T&amp;T) Ltd.</v>
          </cell>
        </row>
        <row r="3">
          <cell r="B3" t="str">
            <v>Bancassurance Caribbean Limited</v>
          </cell>
        </row>
        <row r="4">
          <cell r="B4" t="str">
            <v>Bankers Insurance Company of Trinidad and Tobago Limited</v>
          </cell>
        </row>
        <row r="5">
          <cell r="B5" t="str">
            <v>British American Insurance Company (Trinidad) Limited</v>
          </cell>
        </row>
        <row r="6">
          <cell r="B6" t="str">
            <v>Capital Insurance Limited</v>
          </cell>
        </row>
        <row r="7">
          <cell r="B7" t="str">
            <v>Caribbean Atlantic Life Insurance Company Limited</v>
          </cell>
        </row>
        <row r="8">
          <cell r="B8" t="str">
            <v>Caribbean Insurance Company Limited</v>
          </cell>
        </row>
        <row r="9">
          <cell r="B9" t="str">
            <v>Citizen Insurance Company Limited</v>
          </cell>
        </row>
        <row r="10">
          <cell r="B10" t="str">
            <v>Colonial Fire and General Insurance Company Limited</v>
          </cell>
        </row>
        <row r="11">
          <cell r="B11" t="str">
            <v>Colonial Life Insurance Company (Trinidad) Limited</v>
          </cell>
        </row>
        <row r="12">
          <cell r="B12" t="str">
            <v>Cuna Caribbean Insurance Society Limited</v>
          </cell>
        </row>
        <row r="13">
          <cell r="B13" t="str">
            <v>Cuna Mutual Insurance Society</v>
          </cell>
        </row>
        <row r="14">
          <cell r="B14" t="str">
            <v>Demerara Life Assurance Company of Trinidad &amp; Tobago Limited</v>
          </cell>
        </row>
        <row r="15">
          <cell r="B15" t="str">
            <v>Export Import Bank of Trinidad &amp; Tobago (Eximbank) Limited</v>
          </cell>
        </row>
        <row r="16">
          <cell r="B16" t="str">
            <v>Furness Anchorage General Insurance Limited</v>
          </cell>
        </row>
        <row r="17">
          <cell r="B17" t="str">
            <v>Goodwill General Insurance Company Limited</v>
          </cell>
        </row>
        <row r="18">
          <cell r="B18" t="str">
            <v>Guardian General Insurance Limited</v>
          </cell>
        </row>
        <row r="19">
          <cell r="B19" t="str">
            <v>Guardian Life of the Caribbean Limited</v>
          </cell>
        </row>
        <row r="20">
          <cell r="B20" t="str">
            <v>Gulf Insurance Limited</v>
          </cell>
        </row>
        <row r="21">
          <cell r="B21" t="str">
            <v>Maritime General Insurance Company Limited</v>
          </cell>
        </row>
        <row r="22">
          <cell r="B22" t="str">
            <v>Maritime Life (Caribbean) Limited</v>
          </cell>
        </row>
        <row r="23">
          <cell r="B23" t="str">
            <v>Massy United Insurance Ltd.</v>
          </cell>
        </row>
        <row r="24">
          <cell r="B24" t="str">
            <v>Motor and General Insurance Limited</v>
          </cell>
        </row>
        <row r="25">
          <cell r="B25" t="str">
            <v>Motor One Insurance Company Limited</v>
          </cell>
        </row>
        <row r="26">
          <cell r="B26" t="str">
            <v>NAGICO Insurance (Trinidad and Tobago) Limited</v>
          </cell>
        </row>
        <row r="27">
          <cell r="B27" t="str">
            <v>Nationwide Insurance Company Limited</v>
          </cell>
        </row>
        <row r="28">
          <cell r="B28" t="str">
            <v>Pan-American Life Insurance Company of Trinidad and Tobago Limited (General Division)</v>
          </cell>
        </row>
        <row r="29">
          <cell r="B29" t="str">
            <v>Pan-American Life Insurance Company of Trinidad and Tobago Limited (Life Division)</v>
          </cell>
        </row>
        <row r="30">
          <cell r="B30" t="str">
            <v>Royal Caribbean Insurance Limited</v>
          </cell>
        </row>
        <row r="31">
          <cell r="B31" t="str">
            <v>Sagicor General Insurance Inc.</v>
          </cell>
        </row>
        <row r="32">
          <cell r="B32" t="str">
            <v>Sagicor Life Inc</v>
          </cell>
        </row>
        <row r="33">
          <cell r="B33" t="str">
            <v>Scotialife Trinidad and Tobago Limited</v>
          </cell>
        </row>
        <row r="34">
          <cell r="B34" t="str">
            <v>Sun Life Assurance Company of Canada</v>
          </cell>
        </row>
        <row r="35">
          <cell r="B35" t="str">
            <v>Tatil Life Assurance Limited</v>
          </cell>
        </row>
        <row r="36">
          <cell r="B36" t="str">
            <v>The Beacon Insurance Company Limited</v>
          </cell>
        </row>
        <row r="37">
          <cell r="B37" t="str">
            <v>The Great Northern Insurance Company Limited</v>
          </cell>
        </row>
        <row r="38">
          <cell r="B38" t="str">
            <v>The Insurance Company of the West Indies Limited</v>
          </cell>
        </row>
        <row r="39">
          <cell r="B39" t="str">
            <v>The Mountain General Insurance Company Limited</v>
          </cell>
        </row>
        <row r="40">
          <cell r="B40" t="str">
            <v>The New India Assurance Company Limited</v>
          </cell>
        </row>
        <row r="41">
          <cell r="B41" t="str">
            <v>The Presidential Insurance Company Limited</v>
          </cell>
        </row>
        <row r="42">
          <cell r="B42" t="str">
            <v>The Western General Insurance Company Limited</v>
          </cell>
        </row>
        <row r="43">
          <cell r="B43" t="str">
            <v>Trinidad and Tobago Insurance Limited</v>
          </cell>
        </row>
        <row r="44">
          <cell r="B44" t="str">
            <v>Trinre Insurance Company Limited</v>
          </cell>
        </row>
        <row r="45">
          <cell r="B45" t="str">
            <v>United Security Life Insurance Company Limited</v>
          </cell>
        </row>
      </sheetData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2 FX"/>
      <sheetName val="B3"/>
      <sheetName val="B4"/>
      <sheetName val="B4 MOTOR"/>
      <sheetName val="B5"/>
      <sheetName val="C"/>
      <sheetName val="D1"/>
      <sheetName val="AVAL"/>
      <sheetName val="D2"/>
      <sheetName val="D3"/>
      <sheetName val="ins_names"/>
      <sheetName val="E"/>
      <sheetName val="NOTES"/>
      <sheetName val="Validations"/>
    </sheetNames>
    <sheetDataSet>
      <sheetData sheetId="0" refreshError="1">
        <row r="12">
          <cell r="B12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1"/>
      <sheetData sheetId="2" refreshError="1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3">
          <cell r="F33">
            <v>600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0">
          <cell r="S20">
            <v>4282</v>
          </cell>
        </row>
      </sheetData>
      <sheetData sheetId="27"/>
      <sheetData sheetId="28"/>
      <sheetData sheetId="29" refreshError="1">
        <row r="61">
          <cell r="G61">
            <v>481</v>
          </cell>
        </row>
      </sheetData>
      <sheetData sheetId="30" refreshError="1">
        <row r="20">
          <cell r="P20">
            <v>2074</v>
          </cell>
        </row>
      </sheetData>
      <sheetData sheetId="31"/>
      <sheetData sheetId="32"/>
      <sheetData sheetId="33" refreshError="1">
        <row r="49">
          <cell r="P49">
            <v>675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 refreshError="1">
        <row r="106">
          <cell r="D106">
            <v>1000</v>
          </cell>
        </row>
        <row r="285">
          <cell r="D285">
            <v>285448</v>
          </cell>
        </row>
      </sheetData>
      <sheetData sheetId="1"/>
      <sheetData sheetId="2" refreshError="1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 refreshError="1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1"/>
      <sheetData sheetId="12" refreshError="1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 refreshError="1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4"/>
      <sheetData sheetId="15"/>
      <sheetData sheetId="16" refreshError="1">
        <row r="76">
          <cell r="F76">
            <v>-88879</v>
          </cell>
        </row>
      </sheetData>
      <sheetData sheetId="17"/>
      <sheetData sheetId="18"/>
      <sheetData sheetId="19" refreshError="1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 refreshError="1">
        <row r="33">
          <cell r="E33">
            <v>1505055</v>
          </cell>
        </row>
        <row r="53">
          <cell r="E53">
            <v>64345</v>
          </cell>
        </row>
      </sheetData>
      <sheetData sheetId="21"/>
      <sheetData sheetId="22"/>
      <sheetData sheetId="23" refreshError="1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4"/>
      <sheetData sheetId="25"/>
      <sheetData sheetId="26" refreshError="1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7"/>
      <sheetData sheetId="28" refreshError="1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29"/>
      <sheetData sheetId="30" refreshError="1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>
        <row r="2">
          <cell r="A2" t="str">
            <v xml:space="preserve"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 refreshError="1">
        <row r="8">
          <cell r="B8" t="str">
            <v>ENTER COMPANY NAME HERE</v>
          </cell>
        </row>
        <row r="16">
          <cell r="B16">
            <v>38352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67"/>
  <sheetViews>
    <sheetView zoomScale="90" zoomScaleNormal="90" workbookViewId="0">
      <selection activeCell="B7" sqref="B7:I7"/>
    </sheetView>
  </sheetViews>
  <sheetFormatPr defaultColWidth="9.140625" defaultRowHeight="12.75"/>
  <cols>
    <col min="1" max="1" width="3.140625" style="11" customWidth="1"/>
    <col min="2" max="2" width="35" style="11" customWidth="1"/>
    <col min="3" max="4" width="9.140625" style="11"/>
    <col min="5" max="5" width="22.85546875" style="11" customWidth="1"/>
    <col min="6" max="9" width="9.140625" style="11"/>
    <col min="10" max="10" width="36.42578125" style="11" customWidth="1"/>
    <col min="11" max="15" width="9.140625" style="11"/>
    <col min="16" max="16" width="10.5703125" style="11" customWidth="1"/>
    <col min="17" max="16384" width="9.140625" style="11"/>
  </cols>
  <sheetData>
    <row r="1" spans="2:16" ht="13.5" thickBot="1">
      <c r="P1" s="506"/>
    </row>
    <row r="2" spans="2:16" ht="21" customHeight="1">
      <c r="B2" s="507"/>
      <c r="C2" s="508"/>
      <c r="D2" s="508"/>
      <c r="E2" s="508"/>
      <c r="F2" s="508"/>
      <c r="G2" s="508"/>
      <c r="H2" s="508"/>
      <c r="I2" s="509"/>
      <c r="J2" s="510" t="s">
        <v>345</v>
      </c>
      <c r="P2" s="511"/>
    </row>
    <row r="3" spans="2:16" ht="21" customHeight="1">
      <c r="B3" s="810" t="s">
        <v>346</v>
      </c>
      <c r="C3" s="811"/>
      <c r="D3" s="811"/>
      <c r="E3" s="811"/>
      <c r="F3" s="811"/>
      <c r="G3" s="811"/>
      <c r="H3" s="811"/>
      <c r="I3" s="812"/>
      <c r="J3" s="796" t="s">
        <v>351</v>
      </c>
      <c r="P3" s="513"/>
    </row>
    <row r="4" spans="2:16" ht="21" customHeight="1">
      <c r="B4" s="810"/>
      <c r="C4" s="811"/>
      <c r="D4" s="811"/>
      <c r="E4" s="811"/>
      <c r="F4" s="811"/>
      <c r="G4" s="811"/>
      <c r="H4" s="811"/>
      <c r="I4" s="812"/>
      <c r="J4" s="796" t="s">
        <v>352</v>
      </c>
      <c r="P4" s="513"/>
    </row>
    <row r="5" spans="2:16" ht="21" customHeight="1">
      <c r="B5" s="810" t="s">
        <v>1244</v>
      </c>
      <c r="C5" s="811"/>
      <c r="D5" s="811"/>
      <c r="E5" s="811"/>
      <c r="F5" s="811"/>
      <c r="G5" s="811"/>
      <c r="H5" s="811"/>
      <c r="I5" s="812"/>
      <c r="J5" s="796" t="s">
        <v>353</v>
      </c>
      <c r="P5" s="513"/>
    </row>
    <row r="6" spans="2:16" ht="21" customHeight="1" thickBot="1">
      <c r="B6" s="813" t="s">
        <v>347</v>
      </c>
      <c r="C6" s="814"/>
      <c r="D6" s="814"/>
      <c r="E6" s="814"/>
      <c r="F6" s="814"/>
      <c r="G6" s="814"/>
      <c r="H6" s="814"/>
      <c r="I6" s="815"/>
      <c r="J6" s="796" t="s">
        <v>354</v>
      </c>
      <c r="P6" s="513"/>
    </row>
    <row r="7" spans="2:16" ht="21" customHeight="1" thickBot="1">
      <c r="B7" s="822" t="s">
        <v>265</v>
      </c>
      <c r="C7" s="823"/>
      <c r="D7" s="823"/>
      <c r="E7" s="823"/>
      <c r="F7" s="823"/>
      <c r="G7" s="823"/>
      <c r="H7" s="823"/>
      <c r="I7" s="824"/>
      <c r="J7" s="796" t="s">
        <v>355</v>
      </c>
      <c r="P7" s="513"/>
    </row>
    <row r="8" spans="2:16" ht="21" customHeight="1">
      <c r="B8" s="514"/>
      <c r="C8" s="515"/>
      <c r="D8" s="515"/>
      <c r="E8" s="515"/>
      <c r="F8" s="515"/>
      <c r="G8" s="515"/>
      <c r="H8" s="515"/>
      <c r="I8" s="516"/>
      <c r="J8" s="796" t="s">
        <v>356</v>
      </c>
      <c r="P8" s="513"/>
    </row>
    <row r="9" spans="2:16" ht="21" customHeight="1" thickBot="1">
      <c r="B9" s="816" t="s">
        <v>348</v>
      </c>
      <c r="C9" s="817"/>
      <c r="D9" s="817"/>
      <c r="E9" s="817"/>
      <c r="F9" s="817"/>
      <c r="G9" s="817"/>
      <c r="H9" s="817"/>
      <c r="I9" s="818"/>
      <c r="J9" s="796" t="s">
        <v>357</v>
      </c>
      <c r="P9" s="513"/>
    </row>
    <row r="10" spans="2:16" ht="21" customHeight="1" thickBot="1">
      <c r="B10" s="819"/>
      <c r="C10" s="820"/>
      <c r="D10" s="820"/>
      <c r="E10" s="820"/>
      <c r="F10" s="820"/>
      <c r="G10" s="820"/>
      <c r="H10" s="820"/>
      <c r="I10" s="821"/>
      <c r="J10" s="796" t="s">
        <v>358</v>
      </c>
      <c r="P10" s="513"/>
    </row>
    <row r="11" spans="2:16" ht="21" customHeight="1">
      <c r="B11" s="517" t="s">
        <v>349</v>
      </c>
      <c r="C11" s="518"/>
      <c r="D11" s="518"/>
      <c r="E11" s="519"/>
      <c r="F11" s="520"/>
      <c r="G11" s="518"/>
      <c r="H11" s="518"/>
      <c r="I11" s="521"/>
      <c r="J11" s="796" t="s">
        <v>359</v>
      </c>
      <c r="P11" s="513"/>
    </row>
    <row r="12" spans="2:16" ht="21" customHeight="1">
      <c r="B12" s="514"/>
      <c r="C12" s="515"/>
      <c r="D12" s="515"/>
      <c r="E12" s="515"/>
      <c r="F12" s="515"/>
      <c r="G12" s="515"/>
      <c r="H12" s="515"/>
      <c r="I12" s="516"/>
      <c r="J12" s="796" t="s">
        <v>360</v>
      </c>
      <c r="P12" s="522"/>
    </row>
    <row r="13" spans="2:16" ht="21" customHeight="1" thickBot="1">
      <c r="B13" s="804" t="s">
        <v>350</v>
      </c>
      <c r="C13" s="805"/>
      <c r="D13" s="805"/>
      <c r="E13" s="805"/>
      <c r="F13" s="805"/>
      <c r="G13" s="805"/>
      <c r="H13" s="805"/>
      <c r="I13" s="806"/>
      <c r="J13" s="512"/>
      <c r="P13" s="513"/>
    </row>
    <row r="14" spans="2:16" ht="21" customHeight="1" thickBot="1">
      <c r="B14" s="807"/>
      <c r="C14" s="808"/>
      <c r="D14" s="808"/>
      <c r="E14" s="808"/>
      <c r="F14" s="808"/>
      <c r="G14" s="808"/>
      <c r="H14" s="808"/>
      <c r="I14" s="809"/>
      <c r="J14" s="524"/>
      <c r="P14" s="513"/>
    </row>
    <row r="15" spans="2:16" ht="21" customHeight="1">
      <c r="B15" s="517" t="s">
        <v>349</v>
      </c>
      <c r="C15" s="525"/>
      <c r="D15" s="525"/>
      <c r="E15" s="525"/>
      <c r="F15" s="525"/>
      <c r="G15" s="525"/>
      <c r="H15" s="525"/>
      <c r="I15" s="521"/>
      <c r="J15" s="523"/>
      <c r="P15" s="522"/>
    </row>
    <row r="16" spans="2:16" ht="15" customHeight="1" thickBot="1">
      <c r="B16" s="526"/>
      <c r="C16" s="527"/>
      <c r="D16" s="527"/>
      <c r="E16" s="527"/>
      <c r="F16" s="527"/>
      <c r="G16" s="527"/>
      <c r="H16" s="527"/>
      <c r="I16" s="528"/>
      <c r="J16" s="529"/>
      <c r="P16" s="513"/>
    </row>
    <row r="17" spans="16:16">
      <c r="P17" s="513"/>
    </row>
    <row r="18" spans="16:16">
      <c r="P18" s="513"/>
    </row>
    <row r="19" spans="16:16">
      <c r="P19" s="513"/>
    </row>
    <row r="20" spans="16:16">
      <c r="P20" s="513"/>
    </row>
    <row r="21" spans="16:16">
      <c r="P21" s="513"/>
    </row>
    <row r="22" spans="16:16">
      <c r="P22" s="513"/>
    </row>
    <row r="23" spans="16:16">
      <c r="P23" s="513"/>
    </row>
    <row r="24" spans="16:16">
      <c r="P24" s="513"/>
    </row>
    <row r="25" spans="16:16">
      <c r="P25" s="513"/>
    </row>
    <row r="26" spans="16:16">
      <c r="P26" s="513"/>
    </row>
    <row r="27" spans="16:16">
      <c r="P27" s="513"/>
    </row>
    <row r="28" spans="16:16">
      <c r="P28" s="513"/>
    </row>
    <row r="29" spans="16:16">
      <c r="P29" s="513"/>
    </row>
    <row r="30" spans="16:16">
      <c r="P30" s="513"/>
    </row>
    <row r="31" spans="16:16">
      <c r="P31" s="513"/>
    </row>
    <row r="32" spans="16:16">
      <c r="P32" s="513"/>
    </row>
    <row r="33" spans="16:16">
      <c r="P33" s="513"/>
    </row>
    <row r="34" spans="16:16">
      <c r="P34" s="513"/>
    </row>
    <row r="35" spans="16:16">
      <c r="P35" s="513"/>
    </row>
    <row r="36" spans="16:16">
      <c r="P36" s="513"/>
    </row>
    <row r="37" spans="16:16">
      <c r="P37" s="513"/>
    </row>
    <row r="38" spans="16:16">
      <c r="P38" s="513"/>
    </row>
    <row r="39" spans="16:16">
      <c r="P39" s="513"/>
    </row>
    <row r="40" spans="16:16">
      <c r="P40" s="513"/>
    </row>
    <row r="41" spans="16:16">
      <c r="P41" s="513"/>
    </row>
    <row r="42" spans="16:16">
      <c r="P42" s="513"/>
    </row>
    <row r="43" spans="16:16">
      <c r="P43" s="513"/>
    </row>
    <row r="44" spans="16:16">
      <c r="P44" s="513"/>
    </row>
    <row r="45" spans="16:16">
      <c r="P45" s="513"/>
    </row>
    <row r="46" spans="16:16">
      <c r="P46" s="513"/>
    </row>
    <row r="47" spans="16:16">
      <c r="P47" s="513"/>
    </row>
    <row r="48" spans="16:16">
      <c r="P48" s="513"/>
    </row>
    <row r="49" spans="16:16">
      <c r="P49" s="513"/>
    </row>
    <row r="50" spans="16:16">
      <c r="P50" s="513"/>
    </row>
    <row r="51" spans="16:16">
      <c r="P51" s="513"/>
    </row>
    <row r="52" spans="16:16">
      <c r="P52" s="513"/>
    </row>
    <row r="53" spans="16:16">
      <c r="P53" s="513"/>
    </row>
    <row r="54" spans="16:16">
      <c r="P54" s="513"/>
    </row>
    <row r="55" spans="16:16">
      <c r="P55" s="513"/>
    </row>
    <row r="56" spans="16:16">
      <c r="P56" s="513"/>
    </row>
    <row r="57" spans="16:16">
      <c r="P57" s="513"/>
    </row>
    <row r="58" spans="16:16">
      <c r="P58" s="513"/>
    </row>
    <row r="59" spans="16:16">
      <c r="P59" s="513"/>
    </row>
    <row r="60" spans="16:16">
      <c r="P60" s="513"/>
    </row>
    <row r="61" spans="16:16">
      <c r="P61" s="513"/>
    </row>
    <row r="62" spans="16:16">
      <c r="P62" s="513"/>
    </row>
    <row r="63" spans="16:16">
      <c r="P63" s="513"/>
    </row>
    <row r="64" spans="16:16">
      <c r="P64" s="513"/>
    </row>
    <row r="65" spans="16:16">
      <c r="P65" s="513"/>
    </row>
    <row r="66" spans="16:16">
      <c r="P66" s="513"/>
    </row>
    <row r="67" spans="16:16">
      <c r="P67" s="513"/>
    </row>
    <row r="68" spans="16:16">
      <c r="P68" s="513"/>
    </row>
    <row r="69" spans="16:16">
      <c r="P69" s="513"/>
    </row>
    <row r="70" spans="16:16">
      <c r="P70" s="513"/>
    </row>
    <row r="71" spans="16:16">
      <c r="P71" s="513"/>
    </row>
    <row r="72" spans="16:16">
      <c r="P72" s="513"/>
    </row>
    <row r="73" spans="16:16">
      <c r="P73" s="513"/>
    </row>
    <row r="74" spans="16:16">
      <c r="P74" s="513"/>
    </row>
    <row r="75" spans="16:16">
      <c r="P75" s="513"/>
    </row>
    <row r="76" spans="16:16">
      <c r="P76" s="513"/>
    </row>
    <row r="77" spans="16:16">
      <c r="P77" s="513"/>
    </row>
    <row r="78" spans="16:16">
      <c r="P78" s="513"/>
    </row>
    <row r="79" spans="16:16">
      <c r="P79" s="513"/>
    </row>
    <row r="80" spans="16:16">
      <c r="P80" s="513"/>
    </row>
    <row r="81" spans="16:16">
      <c r="P81" s="513"/>
    </row>
    <row r="82" spans="16:16">
      <c r="P82" s="513"/>
    </row>
    <row r="83" spans="16:16">
      <c r="P83" s="513"/>
    </row>
    <row r="84" spans="16:16">
      <c r="P84" s="513"/>
    </row>
    <row r="85" spans="16:16">
      <c r="P85" s="513"/>
    </row>
    <row r="86" spans="16:16">
      <c r="P86" s="513"/>
    </row>
    <row r="87" spans="16:16">
      <c r="P87" s="513"/>
    </row>
    <row r="88" spans="16:16">
      <c r="P88" s="513"/>
    </row>
    <row r="89" spans="16:16">
      <c r="P89" s="513"/>
    </row>
    <row r="90" spans="16:16">
      <c r="P90" s="513"/>
    </row>
    <row r="91" spans="16:16">
      <c r="P91" s="513"/>
    </row>
    <row r="92" spans="16:16">
      <c r="P92" s="513"/>
    </row>
    <row r="93" spans="16:16">
      <c r="P93" s="513"/>
    </row>
    <row r="94" spans="16:16">
      <c r="P94" s="513"/>
    </row>
    <row r="95" spans="16:16">
      <c r="P95" s="513"/>
    </row>
    <row r="96" spans="16:16">
      <c r="P96" s="513"/>
    </row>
    <row r="97" spans="16:16">
      <c r="P97" s="513"/>
    </row>
    <row r="98" spans="16:16">
      <c r="P98" s="513"/>
    </row>
    <row r="99" spans="16:16">
      <c r="P99" s="513"/>
    </row>
    <row r="100" spans="16:16">
      <c r="P100" s="513"/>
    </row>
    <row r="101" spans="16:16">
      <c r="P101" s="513"/>
    </row>
    <row r="102" spans="16:16">
      <c r="P102" s="513"/>
    </row>
    <row r="103" spans="16:16">
      <c r="P103" s="513"/>
    </row>
    <row r="104" spans="16:16">
      <c r="P104" s="513"/>
    </row>
    <row r="105" spans="16:16">
      <c r="P105" s="513"/>
    </row>
    <row r="106" spans="16:16">
      <c r="P106" s="513"/>
    </row>
    <row r="107" spans="16:16">
      <c r="P107" s="513"/>
    </row>
    <row r="108" spans="16:16">
      <c r="P108" s="513"/>
    </row>
    <row r="109" spans="16:16">
      <c r="P109" s="513"/>
    </row>
    <row r="110" spans="16:16">
      <c r="P110" s="513"/>
    </row>
    <row r="111" spans="16:16">
      <c r="P111" s="513"/>
    </row>
    <row r="112" spans="16:16">
      <c r="P112" s="513"/>
    </row>
    <row r="113" spans="16:16">
      <c r="P113" s="513"/>
    </row>
    <row r="114" spans="16:16">
      <c r="P114" s="513"/>
    </row>
    <row r="115" spans="16:16">
      <c r="P115" s="513"/>
    </row>
    <row r="116" spans="16:16">
      <c r="P116" s="513"/>
    </row>
    <row r="117" spans="16:16">
      <c r="P117" s="513"/>
    </row>
    <row r="118" spans="16:16">
      <c r="P118" s="513"/>
    </row>
    <row r="119" spans="16:16">
      <c r="P119" s="513"/>
    </row>
    <row r="120" spans="16:16">
      <c r="P120" s="513"/>
    </row>
    <row r="121" spans="16:16">
      <c r="P121" s="513"/>
    </row>
    <row r="122" spans="16:16">
      <c r="P122" s="513"/>
    </row>
    <row r="123" spans="16:16">
      <c r="P123" s="513"/>
    </row>
    <row r="124" spans="16:16">
      <c r="P124" s="513"/>
    </row>
    <row r="125" spans="16:16">
      <c r="P125" s="513"/>
    </row>
    <row r="126" spans="16:16">
      <c r="P126" s="513"/>
    </row>
    <row r="127" spans="16:16">
      <c r="P127" s="513"/>
    </row>
    <row r="128" spans="16:16">
      <c r="P128" s="513"/>
    </row>
    <row r="129" spans="16:16">
      <c r="P129" s="513"/>
    </row>
    <row r="130" spans="16:16">
      <c r="P130" s="513"/>
    </row>
    <row r="131" spans="16:16">
      <c r="P131" s="513"/>
    </row>
    <row r="132" spans="16:16">
      <c r="P132" s="513"/>
    </row>
    <row r="133" spans="16:16">
      <c r="P133" s="513"/>
    </row>
    <row r="134" spans="16:16">
      <c r="P134" s="513"/>
    </row>
    <row r="135" spans="16:16">
      <c r="P135" s="513"/>
    </row>
    <row r="136" spans="16:16">
      <c r="P136" s="513"/>
    </row>
    <row r="137" spans="16:16">
      <c r="P137" s="513"/>
    </row>
    <row r="138" spans="16:16">
      <c r="P138" s="513"/>
    </row>
    <row r="139" spans="16:16">
      <c r="P139" s="513"/>
    </row>
    <row r="140" spans="16:16">
      <c r="P140" s="513"/>
    </row>
    <row r="141" spans="16:16">
      <c r="P141" s="513"/>
    </row>
    <row r="142" spans="16:16">
      <c r="P142" s="513"/>
    </row>
    <row r="143" spans="16:16">
      <c r="P143" s="513"/>
    </row>
    <row r="144" spans="16:16">
      <c r="P144" s="513"/>
    </row>
    <row r="145" spans="16:16">
      <c r="P145" s="513"/>
    </row>
    <row r="146" spans="16:16">
      <c r="P146" s="513"/>
    </row>
    <row r="147" spans="16:16">
      <c r="P147" s="513"/>
    </row>
    <row r="148" spans="16:16">
      <c r="P148" s="513"/>
    </row>
    <row r="149" spans="16:16">
      <c r="P149" s="513"/>
    </row>
    <row r="150" spans="16:16">
      <c r="P150" s="513"/>
    </row>
    <row r="151" spans="16:16">
      <c r="P151" s="513"/>
    </row>
    <row r="152" spans="16:16">
      <c r="P152" s="513"/>
    </row>
    <row r="153" spans="16:16">
      <c r="P153" s="513"/>
    </row>
    <row r="154" spans="16:16">
      <c r="P154" s="513"/>
    </row>
    <row r="155" spans="16:16">
      <c r="P155" s="513"/>
    </row>
    <row r="156" spans="16:16">
      <c r="P156" s="513"/>
    </row>
    <row r="157" spans="16:16">
      <c r="P157" s="513"/>
    </row>
    <row r="158" spans="16:16">
      <c r="P158" s="513"/>
    </row>
    <row r="159" spans="16:16">
      <c r="P159" s="513"/>
    </row>
    <row r="160" spans="16:16">
      <c r="P160" s="513"/>
    </row>
    <row r="161" spans="16:16">
      <c r="P161" s="513"/>
    </row>
    <row r="162" spans="16:16">
      <c r="P162" s="513"/>
    </row>
    <row r="163" spans="16:16">
      <c r="P163" s="513"/>
    </row>
    <row r="164" spans="16:16">
      <c r="P164" s="513"/>
    </row>
    <row r="165" spans="16:16">
      <c r="P165" s="513"/>
    </row>
    <row r="166" spans="16:16">
      <c r="P166" s="513"/>
    </row>
    <row r="167" spans="16:16">
      <c r="P167" s="513"/>
    </row>
    <row r="168" spans="16:16">
      <c r="P168" s="513"/>
    </row>
    <row r="169" spans="16:16">
      <c r="P169" s="513"/>
    </row>
    <row r="170" spans="16:16">
      <c r="P170" s="513"/>
    </row>
    <row r="171" spans="16:16">
      <c r="P171" s="513"/>
    </row>
    <row r="172" spans="16:16">
      <c r="P172" s="513"/>
    </row>
    <row r="173" spans="16:16">
      <c r="P173" s="513"/>
    </row>
    <row r="174" spans="16:16">
      <c r="P174" s="513"/>
    </row>
    <row r="175" spans="16:16">
      <c r="P175" s="513"/>
    </row>
    <row r="176" spans="16:16">
      <c r="P176" s="513"/>
    </row>
    <row r="177" spans="16:16">
      <c r="P177" s="513"/>
    </row>
    <row r="178" spans="16:16">
      <c r="P178" s="513"/>
    </row>
    <row r="179" spans="16:16">
      <c r="P179" s="513"/>
    </row>
    <row r="180" spans="16:16">
      <c r="P180" s="513"/>
    </row>
    <row r="181" spans="16:16">
      <c r="P181" s="513"/>
    </row>
    <row r="182" spans="16:16">
      <c r="P182" s="513"/>
    </row>
    <row r="183" spans="16:16">
      <c r="P183" s="513"/>
    </row>
    <row r="184" spans="16:16">
      <c r="P184" s="513"/>
    </row>
    <row r="185" spans="16:16">
      <c r="P185" s="513"/>
    </row>
    <row r="186" spans="16:16">
      <c r="P186" s="513"/>
    </row>
    <row r="187" spans="16:16">
      <c r="P187" s="513"/>
    </row>
    <row r="188" spans="16:16">
      <c r="P188" s="513"/>
    </row>
    <row r="189" spans="16:16">
      <c r="P189" s="513"/>
    </row>
    <row r="190" spans="16:16">
      <c r="P190" s="513"/>
    </row>
    <row r="191" spans="16:16">
      <c r="P191" s="513"/>
    </row>
    <row r="192" spans="16:16">
      <c r="P192" s="513"/>
    </row>
    <row r="193" spans="16:16">
      <c r="P193" s="513"/>
    </row>
    <row r="194" spans="16:16">
      <c r="P194" s="513"/>
    </row>
    <row r="195" spans="16:16">
      <c r="P195" s="513"/>
    </row>
    <row r="196" spans="16:16">
      <c r="P196" s="513"/>
    </row>
    <row r="197" spans="16:16">
      <c r="P197" s="513"/>
    </row>
    <row r="198" spans="16:16">
      <c r="P198" s="513"/>
    </row>
    <row r="199" spans="16:16">
      <c r="P199" s="513"/>
    </row>
    <row r="200" spans="16:16">
      <c r="P200" s="513"/>
    </row>
    <row r="201" spans="16:16">
      <c r="P201" s="513"/>
    </row>
    <row r="202" spans="16:16">
      <c r="P202" s="513"/>
    </row>
    <row r="203" spans="16:16">
      <c r="P203" s="513"/>
    </row>
    <row r="204" spans="16:16">
      <c r="P204" s="513"/>
    </row>
    <row r="205" spans="16:16">
      <c r="P205" s="513"/>
    </row>
    <row r="206" spans="16:16">
      <c r="P206" s="513"/>
    </row>
    <row r="207" spans="16:16">
      <c r="P207" s="513"/>
    </row>
    <row r="208" spans="16:16">
      <c r="P208" s="513"/>
    </row>
    <row r="209" spans="16:16">
      <c r="P209" s="513"/>
    </row>
    <row r="210" spans="16:16">
      <c r="P210" s="513"/>
    </row>
    <row r="211" spans="16:16">
      <c r="P211" s="513"/>
    </row>
    <row r="212" spans="16:16">
      <c r="P212" s="513"/>
    </row>
    <row r="213" spans="16:16">
      <c r="P213" s="513"/>
    </row>
    <row r="214" spans="16:16">
      <c r="P214" s="513"/>
    </row>
    <row r="215" spans="16:16">
      <c r="P215" s="513"/>
    </row>
    <row r="216" spans="16:16">
      <c r="P216" s="513"/>
    </row>
    <row r="217" spans="16:16">
      <c r="P217" s="513"/>
    </row>
    <row r="218" spans="16:16">
      <c r="P218" s="513"/>
    </row>
    <row r="219" spans="16:16">
      <c r="P219" s="513"/>
    </row>
    <row r="220" spans="16:16">
      <c r="P220" s="513"/>
    </row>
    <row r="221" spans="16:16">
      <c r="P221" s="513"/>
    </row>
    <row r="222" spans="16:16">
      <c r="P222" s="513"/>
    </row>
    <row r="223" spans="16:16">
      <c r="P223" s="513"/>
    </row>
    <row r="224" spans="16:16">
      <c r="P224" s="513"/>
    </row>
    <row r="225" spans="16:16">
      <c r="P225" s="513"/>
    </row>
    <row r="226" spans="16:16">
      <c r="P226" s="513"/>
    </row>
    <row r="227" spans="16:16">
      <c r="P227" s="513"/>
    </row>
    <row r="228" spans="16:16">
      <c r="P228" s="513"/>
    </row>
    <row r="229" spans="16:16">
      <c r="P229" s="513"/>
    </row>
    <row r="230" spans="16:16">
      <c r="P230" s="513"/>
    </row>
    <row r="231" spans="16:16">
      <c r="P231" s="513"/>
    </row>
    <row r="232" spans="16:16">
      <c r="P232" s="513"/>
    </row>
    <row r="233" spans="16:16">
      <c r="P233" s="513"/>
    </row>
    <row r="234" spans="16:16">
      <c r="P234" s="513"/>
    </row>
    <row r="235" spans="16:16">
      <c r="P235" s="513"/>
    </row>
    <row r="236" spans="16:16">
      <c r="P236" s="513"/>
    </row>
    <row r="237" spans="16:16">
      <c r="P237" s="513"/>
    </row>
    <row r="238" spans="16:16">
      <c r="P238" s="513"/>
    </row>
    <row r="239" spans="16:16">
      <c r="P239" s="513"/>
    </row>
    <row r="240" spans="16:16">
      <c r="P240" s="513"/>
    </row>
    <row r="241" spans="16:16">
      <c r="P241" s="513"/>
    </row>
    <row r="242" spans="16:16">
      <c r="P242" s="513"/>
    </row>
    <row r="243" spans="16:16">
      <c r="P243" s="513"/>
    </row>
    <row r="244" spans="16:16">
      <c r="P244" s="513"/>
    </row>
    <row r="245" spans="16:16">
      <c r="P245" s="513"/>
    </row>
    <row r="246" spans="16:16">
      <c r="P246" s="513"/>
    </row>
    <row r="247" spans="16:16">
      <c r="P247" s="513"/>
    </row>
    <row r="248" spans="16:16">
      <c r="P248" s="513"/>
    </row>
    <row r="249" spans="16:16">
      <c r="P249" s="513"/>
    </row>
    <row r="250" spans="16:16">
      <c r="P250" s="513"/>
    </row>
    <row r="251" spans="16:16">
      <c r="P251" s="513"/>
    </row>
    <row r="252" spans="16:16">
      <c r="P252" s="513"/>
    </row>
    <row r="253" spans="16:16">
      <c r="P253" s="513"/>
    </row>
    <row r="254" spans="16:16">
      <c r="P254" s="513"/>
    </row>
    <row r="255" spans="16:16">
      <c r="P255" s="513"/>
    </row>
    <row r="256" spans="16:16">
      <c r="P256" s="513"/>
    </row>
    <row r="257" spans="16:16">
      <c r="P257" s="513"/>
    </row>
    <row r="258" spans="16:16">
      <c r="P258" s="513"/>
    </row>
    <row r="259" spans="16:16">
      <c r="P259" s="513"/>
    </row>
    <row r="260" spans="16:16">
      <c r="P260" s="513"/>
    </row>
    <row r="261" spans="16:16">
      <c r="P261" s="513"/>
    </row>
    <row r="262" spans="16:16">
      <c r="P262" s="513"/>
    </row>
    <row r="263" spans="16:16">
      <c r="P263" s="513"/>
    </row>
    <row r="264" spans="16:16">
      <c r="P264" s="513"/>
    </row>
    <row r="265" spans="16:16">
      <c r="P265" s="513"/>
    </row>
    <row r="266" spans="16:16">
      <c r="P266" s="513"/>
    </row>
    <row r="267" spans="16:16">
      <c r="P267" s="530"/>
    </row>
  </sheetData>
  <sheetProtection password="DE3C" sheet="1" objects="1" scenarios="1" selectLockedCells="1"/>
  <mergeCells count="9">
    <mergeCell ref="B13:I13"/>
    <mergeCell ref="B14:I14"/>
    <mergeCell ref="B3:I3"/>
    <mergeCell ref="B4:I4"/>
    <mergeCell ref="B6:I6"/>
    <mergeCell ref="B5:I5"/>
    <mergeCell ref="B9:I9"/>
    <mergeCell ref="B10:I10"/>
    <mergeCell ref="B7:I7"/>
  </mergeCells>
  <phoneticPr fontId="13" type="noConversion"/>
  <dataValidations count="3">
    <dataValidation type="list" allowBlank="1" showInputMessage="1" showErrorMessage="1" sqref="B7">
      <formula1>Plans</formula1>
    </dataValidation>
    <dataValidation type="date" operator="greaterThan" allowBlank="1" showInputMessage="1" showErrorMessage="1" sqref="B14:I14">
      <formula1>39082</formula1>
    </dataValidation>
    <dataValidation type="date" operator="greaterThan" allowBlank="1" showInputMessage="1" showErrorMessage="1" errorTitle="Incorrect Date Format" error="Please enter date in format mm/dd/yyyy" sqref="B10:I10">
      <formula1>39082</formula1>
    </dataValidation>
  </dataValidations>
  <hyperlinks>
    <hyperlink ref="J3" location="'CB20'!A1" display="CB20"/>
    <hyperlink ref="J4" location="'CB40'!A1" display="CB40"/>
    <hyperlink ref="J5" location="'1A'!A1" display="Schedule 1A"/>
    <hyperlink ref="J7" location="'CB201'!A1" display="CB201"/>
    <hyperlink ref="J8" location="'CB202'!A1" display="CB202"/>
    <hyperlink ref="J9" location="'Stat Deposit'!A1" display="Statutory Deposit"/>
    <hyperlink ref="J10" location="'Stat Fund-LT'!A1" display="Statutory Fund - Long Term Business"/>
    <hyperlink ref="J6" location="'1B'!A1" display="Schedule 1B"/>
    <hyperlink ref="J11" location="'Stat Fund-MV'!A1" display="Statutory Fund - Motor Vehicle Business"/>
    <hyperlink ref="J12" location="Notes!A1" display="Notes"/>
  </hyperlinks>
  <printOptions horizontalCentered="1"/>
  <pageMargins left="0.75" right="0.75" top="1" bottom="1" header="0.5" footer="0.5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75" workbookViewId="0">
      <selection activeCell="C46" sqref="C46"/>
    </sheetView>
  </sheetViews>
  <sheetFormatPr defaultColWidth="9.140625" defaultRowHeight="12.75"/>
  <cols>
    <col min="1" max="1" width="70" style="436" customWidth="1"/>
    <col min="2" max="2" width="3.5703125" style="436" customWidth="1"/>
    <col min="3" max="3" width="22.28515625" style="440" customWidth="1"/>
    <col min="4" max="16384" width="9.140625" style="436"/>
  </cols>
  <sheetData>
    <row r="1" spans="1:3" ht="15.75">
      <c r="A1" s="93" t="str">
        <f>[0]!Name</f>
        <v xml:space="preserve"> SELECT INSURANCE COMPANY</v>
      </c>
      <c r="B1" s="470"/>
      <c r="C1" s="453"/>
    </row>
    <row r="2" spans="1:3">
      <c r="A2" s="454" t="s">
        <v>518</v>
      </c>
      <c r="B2" s="441"/>
      <c r="C2" s="534">
        <f>Cover!reportdate</f>
        <v>0</v>
      </c>
    </row>
    <row r="3" spans="1:3">
      <c r="A3" s="440"/>
      <c r="B3" s="440"/>
      <c r="C3" s="443"/>
    </row>
    <row r="4" spans="1:3">
      <c r="A4" s="444" t="s">
        <v>628</v>
      </c>
      <c r="B4" s="444"/>
      <c r="C4" s="471" t="s">
        <v>619</v>
      </c>
    </row>
    <row r="5" spans="1:3" ht="13.5">
      <c r="A5" s="472" t="s">
        <v>629</v>
      </c>
      <c r="B5" s="472"/>
      <c r="C5" s="458"/>
    </row>
    <row r="6" spans="1:3">
      <c r="A6" s="473" t="s">
        <v>1221</v>
      </c>
      <c r="B6" s="473"/>
      <c r="C6" s="547">
        <f>'CB20'!D329+'CB20'!F329</f>
        <v>0</v>
      </c>
    </row>
    <row r="7" spans="1:3">
      <c r="A7" s="473" t="s">
        <v>1222</v>
      </c>
      <c r="B7" s="473"/>
      <c r="C7" s="540">
        <f>'CB20'!D337+'CB20'!F337</f>
        <v>0</v>
      </c>
    </row>
    <row r="8" spans="1:3" ht="14.25" customHeight="1">
      <c r="A8" s="474" t="s">
        <v>1223</v>
      </c>
      <c r="B8" s="473"/>
      <c r="C8" s="540">
        <f>'CB20'!D347+'CB20'!F347-'CB20'!D256-'CB20'!F256</f>
        <v>0</v>
      </c>
    </row>
    <row r="9" spans="1:3">
      <c r="A9" s="473" t="s">
        <v>631</v>
      </c>
      <c r="B9" s="473"/>
      <c r="C9" s="539">
        <f>SUM(C10:C14)</f>
        <v>0</v>
      </c>
    </row>
    <row r="10" spans="1:3">
      <c r="A10" s="750"/>
      <c r="B10" s="476"/>
      <c r="C10" s="751"/>
    </row>
    <row r="11" spans="1:3">
      <c r="A11" s="750"/>
      <c r="B11" s="476"/>
      <c r="C11" s="751"/>
    </row>
    <row r="12" spans="1:3">
      <c r="A12" s="750"/>
      <c r="B12" s="476"/>
      <c r="C12" s="751"/>
    </row>
    <row r="13" spans="1:3">
      <c r="A13" s="750"/>
      <c r="B13" s="476"/>
      <c r="C13" s="751"/>
    </row>
    <row r="14" spans="1:3">
      <c r="A14" s="750"/>
      <c r="B14" s="476"/>
      <c r="C14" s="752"/>
    </row>
    <row r="15" spans="1:3">
      <c r="A15" s="455" t="s">
        <v>218</v>
      </c>
      <c r="B15" s="440"/>
      <c r="C15" s="545">
        <f>SUM(C6:C9)</f>
        <v>0</v>
      </c>
    </row>
    <row r="16" spans="1:3">
      <c r="A16" s="440"/>
      <c r="B16" s="440"/>
      <c r="C16" s="475"/>
    </row>
    <row r="17" spans="1:3" ht="13.5">
      <c r="A17" s="472" t="s">
        <v>633</v>
      </c>
      <c r="B17" s="472"/>
      <c r="C17" s="443"/>
    </row>
    <row r="18" spans="1:3">
      <c r="A18" s="214" t="s">
        <v>216</v>
      </c>
      <c r="B18" s="440"/>
      <c r="C18" s="547">
        <f>MIN(C19,C20)</f>
        <v>0</v>
      </c>
    </row>
    <row r="19" spans="1:3">
      <c r="A19" s="538" t="s">
        <v>219</v>
      </c>
      <c r="B19" s="440"/>
      <c r="C19" s="544">
        <f>0.3*'Stat Deposit'!C9</f>
        <v>0</v>
      </c>
    </row>
    <row r="20" spans="1:3">
      <c r="A20" s="538" t="s">
        <v>220</v>
      </c>
      <c r="B20" s="440"/>
      <c r="C20" s="544">
        <f>'CB20'!F503+'CB20'!F506</f>
        <v>0</v>
      </c>
    </row>
    <row r="21" spans="1:3">
      <c r="A21" s="440" t="s">
        <v>631</v>
      </c>
      <c r="B21" s="440"/>
      <c r="C21" s="540">
        <f>SUM(C22:C26)</f>
        <v>0</v>
      </c>
    </row>
    <row r="22" spans="1:3">
      <c r="A22" s="753"/>
      <c r="B22" s="476"/>
      <c r="C22" s="749"/>
    </row>
    <row r="23" spans="1:3">
      <c r="A23" s="750"/>
      <c r="B23" s="476"/>
      <c r="C23" s="751"/>
    </row>
    <row r="24" spans="1:3">
      <c r="A24" s="750"/>
      <c r="B24" s="476"/>
      <c r="C24" s="751"/>
    </row>
    <row r="25" spans="1:3">
      <c r="A25" s="750"/>
      <c r="B25" s="476"/>
      <c r="C25" s="751"/>
    </row>
    <row r="26" spans="1:3">
      <c r="A26" s="750"/>
      <c r="B26" s="476"/>
      <c r="C26" s="752"/>
    </row>
    <row r="27" spans="1:3">
      <c r="A27" s="455" t="s">
        <v>217</v>
      </c>
      <c r="B27" s="440"/>
      <c r="C27" s="545">
        <f>C18+C21</f>
        <v>0</v>
      </c>
    </row>
    <row r="28" spans="1:3">
      <c r="A28" s="440"/>
      <c r="B28" s="440"/>
      <c r="C28" s="475"/>
    </row>
    <row r="29" spans="1:3" ht="13.5">
      <c r="A29" s="472" t="s">
        <v>633</v>
      </c>
      <c r="B29" s="472"/>
      <c r="C29" s="443"/>
    </row>
    <row r="30" spans="1:3" ht="25.5">
      <c r="A30" s="473" t="s">
        <v>516</v>
      </c>
      <c r="B30" s="473"/>
      <c r="C30" s="548">
        <f>MAX(0,'Stat Deposit'!C14-'Stat Deposit'!C6)</f>
        <v>0</v>
      </c>
    </row>
    <row r="31" spans="1:3">
      <c r="A31" s="444" t="s">
        <v>632</v>
      </c>
      <c r="B31" s="444"/>
      <c r="C31" s="546">
        <f>C15-C27-C30</f>
        <v>0</v>
      </c>
    </row>
    <row r="32" spans="1:3">
      <c r="A32" s="444"/>
      <c r="B32" s="444"/>
      <c r="C32" s="443"/>
    </row>
    <row r="33" spans="1:4">
      <c r="A33" s="444" t="s">
        <v>636</v>
      </c>
      <c r="B33" s="444"/>
      <c r="C33" s="546">
        <f>MAX(0,C31)</f>
        <v>0</v>
      </c>
    </row>
    <row r="34" spans="1:4">
      <c r="A34" s="444"/>
      <c r="B34" s="444"/>
      <c r="C34" s="477"/>
    </row>
    <row r="35" spans="1:4">
      <c r="A35" s="478" t="s">
        <v>517</v>
      </c>
      <c r="B35" s="478"/>
      <c r="C35" s="756"/>
    </row>
    <row r="36" spans="1:4">
      <c r="A36" s="478"/>
      <c r="B36" s="478"/>
      <c r="C36" s="477"/>
    </row>
    <row r="37" spans="1:4" ht="13.5" thickBot="1">
      <c r="A37" s="444" t="s">
        <v>627</v>
      </c>
      <c r="B37" s="444"/>
      <c r="C37" s="543">
        <f>C35-C33</f>
        <v>0</v>
      </c>
    </row>
    <row r="38" spans="1:4" ht="13.5" thickTop="1">
      <c r="A38" s="440"/>
      <c r="B38" s="440"/>
      <c r="C38" s="479"/>
    </row>
    <row r="40" spans="1:4" ht="15.75">
      <c r="A40" s="462"/>
      <c r="B40" s="757"/>
      <c r="C40" s="480"/>
      <c r="D40" s="440"/>
    </row>
    <row r="41" spans="1:4" ht="21.75">
      <c r="A41" s="481" t="s">
        <v>0</v>
      </c>
      <c r="B41" s="482" t="s">
        <v>1</v>
      </c>
      <c r="C41" s="483"/>
    </row>
    <row r="42" spans="1:4">
      <c r="A42" s="481" t="s">
        <v>2</v>
      </c>
      <c r="B42" s="481"/>
      <c r="C42" s="484"/>
      <c r="D42" s="485"/>
    </row>
    <row r="43" spans="1:4">
      <c r="A43" s="486"/>
      <c r="B43" s="486"/>
      <c r="C43" s="484"/>
      <c r="D43" s="485"/>
    </row>
    <row r="44" spans="1:4">
      <c r="A44" s="486"/>
      <c r="B44" s="486"/>
      <c r="C44" s="484"/>
      <c r="D44" s="485"/>
    </row>
    <row r="45" spans="1:4">
      <c r="A45" s="486"/>
      <c r="B45" s="486"/>
      <c r="C45" s="484"/>
      <c r="D45" s="485"/>
    </row>
    <row r="46" spans="1:4" ht="15.75">
      <c r="A46" s="466"/>
      <c r="B46" s="758"/>
      <c r="C46" s="480"/>
      <c r="D46" s="486"/>
    </row>
    <row r="47" spans="1:4">
      <c r="A47" s="487" t="s">
        <v>3</v>
      </c>
      <c r="B47" s="482" t="s">
        <v>4</v>
      </c>
      <c r="C47" s="488"/>
    </row>
    <row r="48" spans="1:4">
      <c r="A48" s="481" t="s">
        <v>2</v>
      </c>
      <c r="B48" s="481"/>
      <c r="C48" s="484"/>
    </row>
    <row r="49" spans="1:4">
      <c r="A49" s="481"/>
      <c r="B49" s="481"/>
      <c r="C49" s="484"/>
    </row>
    <row r="50" spans="1:4">
      <c r="A50" s="486"/>
      <c r="B50" s="486"/>
      <c r="C50" s="484"/>
    </row>
    <row r="51" spans="1:4">
      <c r="A51" s="468"/>
      <c r="B51" s="759"/>
      <c r="C51" s="480"/>
      <c r="D51" s="440"/>
    </row>
    <row r="52" spans="1:4">
      <c r="A52" s="487" t="s">
        <v>5</v>
      </c>
      <c r="B52" s="487"/>
      <c r="C52" s="481" t="s">
        <v>6</v>
      </c>
    </row>
    <row r="53" spans="1:4">
      <c r="A53" s="441" t="s">
        <v>7</v>
      </c>
      <c r="B53" s="441"/>
      <c r="C53" s="484"/>
      <c r="D53" s="485"/>
    </row>
    <row r="54" spans="1:4">
      <c r="B54" s="440"/>
    </row>
    <row r="55" spans="1:4">
      <c r="B55" s="440"/>
    </row>
  </sheetData>
  <sheetProtection algorithmName="SHA-512" hashValue="r7tvaVF1ci2FEFLibsWmr16DC4K/DBSGErV9UAezX1QJxT2UKrOwhQfsbFTlRhNk+J9WHPZIO7Wt8eNirqWhWA==" saltValue="eOzDlTptkhaxqQ5mXEGodA==" spinCount="100000" sheet="1" selectLockedCells="1"/>
  <phoneticPr fontId="13" type="noConversion"/>
  <conditionalFormatting sqref="A1:XFD1048576">
    <cfRule type="expression" dxfId="0" priority="1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31:C38 C6:C29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C5 C2:C3">
      <formula1>50000000000</formula1>
    </dataValidation>
  </dataValidations>
  <pageMargins left="0.75" right="0.57999999999999996" top="1" bottom="1" header="0.5" footer="0.5"/>
  <pageSetup paperSize="9" scale="94" orientation="portrait" blackAndWhite="1" r:id="rId1"/>
  <headerFooter alignWithMargins="0">
    <oddHeader>&amp;L&amp;F&amp;R&amp;A</oddHeader>
    <oddFooter>&amp;L&amp;D&amp;R&amp;P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defaultColWidth="8.85546875" defaultRowHeight="12.75"/>
  <cols>
    <col min="1" max="3" width="8.85546875" style="797"/>
    <col min="4" max="4" width="8.85546875" style="797" customWidth="1"/>
    <col min="5" max="8" width="8.85546875" style="797"/>
    <col min="9" max="9" width="8.85546875" style="797" customWidth="1"/>
    <col min="10" max="16384" width="8.85546875" style="797"/>
  </cols>
  <sheetData>
    <row r="1" spans="1:1" customFormat="1">
      <c r="A1" s="797" t="s">
        <v>265</v>
      </c>
    </row>
    <row r="2" spans="1:1" customFormat="1"/>
    <row r="3" spans="1:1" customFormat="1">
      <c r="A3" t="s">
        <v>637</v>
      </c>
    </row>
  </sheetData>
  <sheetProtection selectLockedCells="1"/>
  <phoneticPr fontId="13" type="noConversion"/>
  <dataValidations count="1">
    <dataValidation type="list" allowBlank="1" showInputMessage="1" showErrorMessage="1" sqref="A1">
      <formula1>Plans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5"/>
  <sheetViews>
    <sheetView topLeftCell="A7" workbookViewId="0">
      <selection activeCell="B40" sqref="B40"/>
    </sheetView>
  </sheetViews>
  <sheetFormatPr defaultColWidth="9.140625" defaultRowHeight="12.75"/>
  <cols>
    <col min="1" max="1" width="7" style="503" customWidth="1"/>
    <col min="2" max="2" width="69.85546875" style="160" customWidth="1"/>
    <col min="3" max="3" width="20.28515625" style="503" customWidth="1"/>
    <col min="4" max="16384" width="9.140625" style="503"/>
  </cols>
  <sheetData>
    <row r="1" spans="2:5" ht="16.5" customHeight="1">
      <c r="B1" s="160" t="s">
        <v>265</v>
      </c>
      <c r="C1" s="503" t="s">
        <v>264</v>
      </c>
    </row>
    <row r="2" spans="2:5" ht="16.5" customHeight="1">
      <c r="B2" s="505" t="s">
        <v>841</v>
      </c>
      <c r="C2" s="504" t="s">
        <v>309</v>
      </c>
      <c r="D2" s="504"/>
      <c r="E2" s="505"/>
    </row>
    <row r="3" spans="2:5" ht="16.5" customHeight="1">
      <c r="B3" s="505" t="s">
        <v>269</v>
      </c>
      <c r="C3" s="504" t="s">
        <v>268</v>
      </c>
      <c r="D3" s="504"/>
      <c r="E3" s="505"/>
    </row>
    <row r="4" spans="2:5" ht="16.5" customHeight="1">
      <c r="B4" s="505" t="s">
        <v>271</v>
      </c>
      <c r="C4" s="504" t="s">
        <v>270</v>
      </c>
      <c r="D4" s="504"/>
      <c r="E4" s="505"/>
    </row>
    <row r="5" spans="2:5" ht="16.5" customHeight="1">
      <c r="B5" s="505" t="s">
        <v>273</v>
      </c>
      <c r="C5" s="504" t="s">
        <v>272</v>
      </c>
      <c r="D5" s="504"/>
      <c r="E5" s="505"/>
    </row>
    <row r="6" spans="2:5" ht="16.5" customHeight="1">
      <c r="B6" s="505" t="s">
        <v>275</v>
      </c>
      <c r="C6" s="504" t="s">
        <v>274</v>
      </c>
      <c r="D6" s="504"/>
      <c r="E6" s="505"/>
    </row>
    <row r="7" spans="2:5" ht="16.5" customHeight="1">
      <c r="B7" s="505" t="s">
        <v>277</v>
      </c>
      <c r="C7" s="504" t="s">
        <v>276</v>
      </c>
      <c r="D7" s="504"/>
      <c r="E7" s="505"/>
    </row>
    <row r="8" spans="2:5" ht="16.5" customHeight="1">
      <c r="B8" s="505" t="s">
        <v>279</v>
      </c>
      <c r="C8" s="504" t="s">
        <v>278</v>
      </c>
      <c r="D8" s="504"/>
      <c r="E8" s="505"/>
    </row>
    <row r="9" spans="2:5" ht="16.5" customHeight="1">
      <c r="B9" s="505" t="s">
        <v>281</v>
      </c>
      <c r="C9" s="504" t="s">
        <v>280</v>
      </c>
      <c r="D9" s="504"/>
      <c r="E9" s="505"/>
    </row>
    <row r="10" spans="2:5" ht="16.5" customHeight="1">
      <c r="B10" s="505" t="s">
        <v>283</v>
      </c>
      <c r="C10" s="504" t="s">
        <v>282</v>
      </c>
      <c r="D10" s="504"/>
      <c r="E10" s="505"/>
    </row>
    <row r="11" spans="2:5" ht="16.5" customHeight="1">
      <c r="B11" s="505" t="s">
        <v>285</v>
      </c>
      <c r="C11" s="504" t="s">
        <v>284</v>
      </c>
      <c r="D11" s="504"/>
      <c r="E11" s="505"/>
    </row>
    <row r="12" spans="2:5" ht="16.5" customHeight="1">
      <c r="B12" s="505" t="s">
        <v>287</v>
      </c>
      <c r="C12" s="504" t="s">
        <v>286</v>
      </c>
      <c r="D12" s="504"/>
      <c r="E12" s="505"/>
    </row>
    <row r="13" spans="2:5" ht="16.5" customHeight="1">
      <c r="B13" s="505" t="s">
        <v>289</v>
      </c>
      <c r="C13" s="504" t="s">
        <v>288</v>
      </c>
      <c r="D13" s="504"/>
      <c r="E13" s="505"/>
    </row>
    <row r="14" spans="2:5" ht="16.5" customHeight="1">
      <c r="B14" s="505" t="s">
        <v>291</v>
      </c>
      <c r="C14" s="504" t="s">
        <v>290</v>
      </c>
      <c r="D14" s="504"/>
      <c r="E14" s="505"/>
    </row>
    <row r="15" spans="2:5" ht="16.5" customHeight="1">
      <c r="B15" s="505" t="s">
        <v>293</v>
      </c>
      <c r="C15" s="504" t="s">
        <v>292</v>
      </c>
      <c r="D15" s="504"/>
      <c r="E15" s="505"/>
    </row>
    <row r="16" spans="2:5" ht="16.5" customHeight="1">
      <c r="B16" s="505" t="s">
        <v>295</v>
      </c>
      <c r="C16" s="504" t="s">
        <v>294</v>
      </c>
      <c r="D16" s="504"/>
      <c r="E16" s="505"/>
    </row>
    <row r="17" spans="2:5" ht="16.5" customHeight="1">
      <c r="B17" s="505" t="s">
        <v>297</v>
      </c>
      <c r="C17" s="504" t="s">
        <v>296</v>
      </c>
      <c r="D17" s="504"/>
      <c r="E17" s="505"/>
    </row>
    <row r="18" spans="2:5" ht="16.5" customHeight="1">
      <c r="B18" s="505" t="s">
        <v>300</v>
      </c>
      <c r="C18" s="504" t="s">
        <v>299</v>
      </c>
      <c r="D18" s="504"/>
      <c r="E18" s="505"/>
    </row>
    <row r="19" spans="2:5" ht="16.5" customHeight="1">
      <c r="B19" s="505" t="s">
        <v>302</v>
      </c>
      <c r="C19" s="504" t="s">
        <v>301</v>
      </c>
      <c r="D19" s="504"/>
      <c r="E19" s="505"/>
    </row>
    <row r="20" spans="2:5" ht="16.5" customHeight="1">
      <c r="B20" s="505" t="s">
        <v>304</v>
      </c>
      <c r="C20" s="504" t="s">
        <v>303</v>
      </c>
      <c r="D20" s="504"/>
      <c r="E20" s="505"/>
    </row>
    <row r="21" spans="2:5" ht="16.5" customHeight="1">
      <c r="B21" s="505" t="s">
        <v>306</v>
      </c>
      <c r="C21" s="504" t="s">
        <v>305</v>
      </c>
      <c r="D21" s="504"/>
      <c r="E21" s="505"/>
    </row>
    <row r="22" spans="2:5" ht="16.5" customHeight="1">
      <c r="B22" s="505" t="s">
        <v>308</v>
      </c>
      <c r="C22" s="504" t="s">
        <v>307</v>
      </c>
      <c r="D22" s="504"/>
      <c r="E22" s="505"/>
    </row>
    <row r="23" spans="2:5" ht="16.5" customHeight="1">
      <c r="B23" s="505" t="s">
        <v>844</v>
      </c>
      <c r="C23" s="504" t="s">
        <v>342</v>
      </c>
      <c r="D23" s="504"/>
      <c r="E23" s="505"/>
    </row>
    <row r="24" spans="2:5" ht="16.5" customHeight="1">
      <c r="B24" s="505" t="s">
        <v>311</v>
      </c>
      <c r="C24" s="504" t="s">
        <v>310</v>
      </c>
    </row>
    <row r="25" spans="2:5" ht="16.5" customHeight="1">
      <c r="B25" s="505" t="s">
        <v>313</v>
      </c>
      <c r="C25" s="504" t="s">
        <v>312</v>
      </c>
    </row>
    <row r="26" spans="2:5" ht="16.5" customHeight="1">
      <c r="B26" s="505" t="s">
        <v>839</v>
      </c>
      <c r="C26" s="504" t="s">
        <v>298</v>
      </c>
    </row>
    <row r="27" spans="2:5" ht="16.5" customHeight="1">
      <c r="B27" s="505" t="s">
        <v>315</v>
      </c>
      <c r="C27" s="504" t="s">
        <v>314</v>
      </c>
    </row>
    <row r="28" spans="2:5" ht="16.5" customHeight="1">
      <c r="B28" s="505" t="s">
        <v>837</v>
      </c>
      <c r="C28" s="504" t="s">
        <v>266</v>
      </c>
    </row>
    <row r="29" spans="2:5" ht="16.5" customHeight="1">
      <c r="B29" s="505" t="s">
        <v>838</v>
      </c>
      <c r="C29" s="504" t="s">
        <v>267</v>
      </c>
    </row>
    <row r="30" spans="2:5" ht="16.5" customHeight="1">
      <c r="B30" s="505" t="s">
        <v>317</v>
      </c>
      <c r="C30" s="504" t="s">
        <v>316</v>
      </c>
    </row>
    <row r="31" spans="2:5" ht="16.5" customHeight="1">
      <c r="B31" s="505" t="s">
        <v>319</v>
      </c>
      <c r="C31" s="504" t="s">
        <v>318</v>
      </c>
    </row>
    <row r="32" spans="2:5" ht="16.5" customHeight="1">
      <c r="B32" s="505" t="s">
        <v>321</v>
      </c>
      <c r="C32" s="504" t="s">
        <v>320</v>
      </c>
    </row>
    <row r="33" spans="2:3" ht="16.5" customHeight="1">
      <c r="B33" s="505" t="s">
        <v>323</v>
      </c>
      <c r="C33" s="504" t="s">
        <v>322</v>
      </c>
    </row>
    <row r="34" spans="2:3" ht="16.5" customHeight="1">
      <c r="B34" s="505" t="s">
        <v>325</v>
      </c>
      <c r="C34" s="504" t="s">
        <v>324</v>
      </c>
    </row>
    <row r="35" spans="2:3" ht="16.5" customHeight="1">
      <c r="B35" s="505" t="s">
        <v>327</v>
      </c>
      <c r="C35" s="504" t="s">
        <v>326</v>
      </c>
    </row>
    <row r="36" spans="2:3" ht="16.5" customHeight="1">
      <c r="B36" s="505" t="s">
        <v>329</v>
      </c>
      <c r="C36" s="504" t="s">
        <v>328</v>
      </c>
    </row>
    <row r="37" spans="2:3" ht="16.5" customHeight="1">
      <c r="B37" s="505" t="s">
        <v>331</v>
      </c>
      <c r="C37" s="504" t="s">
        <v>330</v>
      </c>
    </row>
    <row r="38" spans="2:3" ht="16.5" customHeight="1">
      <c r="B38" s="505" t="s">
        <v>836</v>
      </c>
      <c r="C38" s="504" t="s">
        <v>835</v>
      </c>
    </row>
    <row r="39" spans="2:3" ht="16.5" customHeight="1">
      <c r="B39" s="505" t="s">
        <v>333</v>
      </c>
      <c r="C39" s="504" t="s">
        <v>332</v>
      </c>
    </row>
    <row r="40" spans="2:3" ht="16.5" customHeight="1">
      <c r="B40" s="803" t="s">
        <v>1246</v>
      </c>
      <c r="C40" s="504" t="s">
        <v>334</v>
      </c>
    </row>
    <row r="41" spans="2:3" ht="16.5" customHeight="1">
      <c r="B41" s="505" t="s">
        <v>336</v>
      </c>
      <c r="C41" s="504" t="s">
        <v>335</v>
      </c>
    </row>
    <row r="42" spans="2:3" ht="16.5" customHeight="1">
      <c r="B42" s="505" t="s">
        <v>339</v>
      </c>
      <c r="C42" s="504" t="s">
        <v>338</v>
      </c>
    </row>
    <row r="43" spans="2:3" ht="16.5" customHeight="1">
      <c r="B43" s="505" t="s">
        <v>341</v>
      </c>
      <c r="C43" s="504" t="s">
        <v>340</v>
      </c>
    </row>
    <row r="44" spans="2:3" ht="16.5" customHeight="1">
      <c r="B44" s="505" t="s">
        <v>842</v>
      </c>
      <c r="C44" s="504" t="s">
        <v>337</v>
      </c>
    </row>
    <row r="45" spans="2:3" ht="16.5" customHeight="1">
      <c r="B45" s="505" t="s">
        <v>344</v>
      </c>
      <c r="C45" s="504" t="s">
        <v>343</v>
      </c>
    </row>
  </sheetData>
  <sheetProtection selectLockedCells="1" selectUnlockedCells="1"/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109"/>
  <sheetViews>
    <sheetView topLeftCell="A40" zoomScaleNormal="100" workbookViewId="0">
      <selection activeCell="F7" sqref="F7"/>
    </sheetView>
  </sheetViews>
  <sheetFormatPr defaultRowHeight="12.75"/>
  <cols>
    <col min="1" max="1" width="44.7109375" style="11" customWidth="1"/>
    <col min="2" max="2" width="6.7109375" style="492" customWidth="1"/>
    <col min="3" max="3" width="10.85546875" style="492" customWidth="1"/>
    <col min="4" max="4" width="11.140625" style="492" customWidth="1"/>
    <col min="5" max="5" width="7" style="492" customWidth="1"/>
    <col min="6" max="6" width="8" style="492" customWidth="1"/>
    <col min="7" max="8" width="9.140625" style="492" customWidth="1"/>
    <col min="9" max="9" width="10.140625" style="492" customWidth="1"/>
    <col min="10" max="10" width="9.140625" style="492" customWidth="1"/>
  </cols>
  <sheetData>
    <row r="1" spans="1:6" ht="25.5">
      <c r="A1" s="780" t="s">
        <v>638</v>
      </c>
      <c r="B1" s="489" t="s">
        <v>639</v>
      </c>
      <c r="C1" s="490" t="str">
        <f>VLOOKUP([0]!Name,Codes!B1:C45,2,FALSE)</f>
        <v>Company Code</v>
      </c>
      <c r="D1" s="491" t="s">
        <v>640</v>
      </c>
      <c r="E1" s="491"/>
      <c r="F1" s="491"/>
    </row>
    <row r="2" spans="1:6">
      <c r="A2" s="781">
        <f>IF(MONTH(reportdate)=12,4,IF(MONTH(reportdate)=9,3,IF(MONTH(reportdate)=6,2,IF(MONTH(reportdate)=3,1,0))))</f>
        <v>0</v>
      </c>
      <c r="B2" s="490"/>
      <c r="C2" s="491"/>
      <c r="D2" s="491"/>
      <c r="E2" s="491"/>
      <c r="F2" s="491"/>
    </row>
    <row r="3" spans="1:6">
      <c r="A3" s="782">
        <f>Cover!reportdate</f>
        <v>0</v>
      </c>
      <c r="B3" s="490"/>
      <c r="C3" s="839"/>
      <c r="D3" s="839"/>
      <c r="E3" s="839"/>
      <c r="F3" s="839"/>
    </row>
    <row r="4" spans="1:6">
      <c r="A4" s="783" t="s">
        <v>641</v>
      </c>
      <c r="B4" s="493" t="s">
        <v>642</v>
      </c>
      <c r="C4" s="494" t="s">
        <v>643</v>
      </c>
      <c r="D4" s="494" t="s">
        <v>644</v>
      </c>
      <c r="E4" s="494" t="s">
        <v>645</v>
      </c>
      <c r="F4" s="494" t="s">
        <v>646</v>
      </c>
    </row>
    <row r="5" spans="1:6">
      <c r="A5" s="11" t="str">
        <f>C1&amp;".e20.11"</f>
        <v>Company Code.e20.11</v>
      </c>
      <c r="B5" s="492">
        <f>'CB20'!$B$7</f>
        <v>0</v>
      </c>
      <c r="C5" s="492">
        <f>'CB20'!$D$7</f>
        <v>0</v>
      </c>
      <c r="D5" s="492">
        <f>'CB20'!$F$7</f>
        <v>0</v>
      </c>
      <c r="E5" s="492">
        <f>'CB20'!$H$7</f>
        <v>0</v>
      </c>
      <c r="F5" s="492">
        <f>'CB20'!$J$7</f>
        <v>0</v>
      </c>
    </row>
    <row r="6" spans="1:6">
      <c r="A6" s="11" t="str">
        <f>C1&amp;".e20.13"</f>
        <v>Company Code.e20.13</v>
      </c>
      <c r="B6" s="492">
        <f>'CB20'!$B$8</f>
        <v>0</v>
      </c>
      <c r="C6" s="492">
        <f>'CB20'!$D$8</f>
        <v>0</v>
      </c>
      <c r="D6" s="492">
        <f>'CB20'!$F$8</f>
        <v>0</v>
      </c>
      <c r="E6" s="492">
        <f>'CB20'!$H$8</f>
        <v>0</v>
      </c>
      <c r="F6" s="492">
        <f>'CB20'!$J$8</f>
        <v>0</v>
      </c>
    </row>
    <row r="7" spans="1:6">
      <c r="A7" s="11" t="str">
        <f>C1&amp;".e20.14"</f>
        <v>Company Code.e20.14</v>
      </c>
      <c r="B7" s="492">
        <f>'CB20'!$B$9</f>
        <v>0</v>
      </c>
      <c r="C7" s="492">
        <f>'CB20'!$D$9</f>
        <v>0</v>
      </c>
      <c r="D7" s="492">
        <f>'CB20'!$F$9</f>
        <v>0</v>
      </c>
      <c r="E7" s="492">
        <f>'CB20'!$H$9</f>
        <v>0</v>
      </c>
      <c r="F7" s="492">
        <f>'CB20'!$J$9</f>
        <v>0</v>
      </c>
    </row>
    <row r="8" spans="1:6">
      <c r="A8" s="11" t="str">
        <f>C1&amp;".e20.16"</f>
        <v>Company Code.e20.16</v>
      </c>
      <c r="B8" s="492">
        <f>'CB20'!$B$10</f>
        <v>0</v>
      </c>
      <c r="C8" s="492">
        <f>'CB20'!$D$10</f>
        <v>0</v>
      </c>
      <c r="D8" s="492">
        <f>'CB20'!$F$10</f>
        <v>0</v>
      </c>
      <c r="E8" s="492">
        <f>'CB20'!$H$10</f>
        <v>0</v>
      </c>
      <c r="F8" s="492">
        <f>'CB20'!$J$10</f>
        <v>0</v>
      </c>
    </row>
    <row r="9" spans="1:6">
      <c r="A9" s="11" t="str">
        <f>C1&amp;".e20.17"</f>
        <v>Company Code.e20.17</v>
      </c>
      <c r="B9" s="492">
        <f>'CB20'!$B$11</f>
        <v>0</v>
      </c>
      <c r="C9" s="492">
        <f>'CB20'!$D$11</f>
        <v>0</v>
      </c>
      <c r="D9" s="492">
        <f>'CB20'!$F$11</f>
        <v>0</v>
      </c>
      <c r="E9" s="492">
        <f>'CB20'!$H$11</f>
        <v>0</v>
      </c>
      <c r="F9" s="492">
        <f>'CB20'!$J$11</f>
        <v>0</v>
      </c>
    </row>
    <row r="10" spans="1:6">
      <c r="A10" s="11" t="str">
        <f>C1&amp;".e20.18"</f>
        <v>Company Code.e20.18</v>
      </c>
      <c r="B10" s="492">
        <f>'CB20'!$B$12</f>
        <v>0</v>
      </c>
      <c r="C10" s="492">
        <f>'CB20'!$D$12</f>
        <v>0</v>
      </c>
      <c r="D10" s="492">
        <f>'CB20'!$F$12</f>
        <v>0</v>
      </c>
      <c r="E10" s="492">
        <f>'CB20'!$H$12</f>
        <v>0</v>
      </c>
      <c r="F10" s="492">
        <f>'CB20'!$J$12</f>
        <v>0</v>
      </c>
    </row>
    <row r="11" spans="1:6">
      <c r="A11" s="11" t="str">
        <f>C1&amp;".e20.19"</f>
        <v>Company Code.e20.19</v>
      </c>
      <c r="B11" s="492">
        <f>'CB20'!$B$13</f>
        <v>0</v>
      </c>
      <c r="C11" s="492">
        <f>'CB20'!$D$13</f>
        <v>0</v>
      </c>
      <c r="D11" s="492">
        <f>'CB20'!$F$13</f>
        <v>0</v>
      </c>
      <c r="E11" s="492">
        <f>'CB20'!$H$13</f>
        <v>0</v>
      </c>
      <c r="F11" s="492">
        <f>'CB20'!$J$13</f>
        <v>0</v>
      </c>
    </row>
    <row r="12" spans="1:6">
      <c r="A12" s="11" t="str">
        <f>C1&amp;".e20.1"</f>
        <v>Company Code.e20.1</v>
      </c>
      <c r="B12" s="492">
        <f>'CB20'!$B$14</f>
        <v>0</v>
      </c>
      <c r="C12" s="492">
        <f>'CB20'!$D$14</f>
        <v>0</v>
      </c>
      <c r="D12" s="492">
        <f>'CB20'!$F$14</f>
        <v>0</v>
      </c>
      <c r="E12" s="492">
        <f>'CB20'!$H$14</f>
        <v>0</v>
      </c>
      <c r="F12" s="492">
        <f>'CB20'!$J14</f>
        <v>0</v>
      </c>
    </row>
    <row r="13" spans="1:6">
      <c r="A13" s="11" t="str">
        <f>C1&amp;".e20.210"</f>
        <v>Company Code.e20.210</v>
      </c>
      <c r="B13" s="492">
        <f>'CB20'!$B$19</f>
        <v>0</v>
      </c>
      <c r="C13" s="492">
        <f>'CB20'!$D$19</f>
        <v>0</v>
      </c>
      <c r="D13" s="492">
        <f>'CB20'!$F$19</f>
        <v>0</v>
      </c>
      <c r="E13" s="492">
        <f>'CB20'!$H$19</f>
        <v>0</v>
      </c>
      <c r="F13" s="492">
        <f>'CB20'!$J$19</f>
        <v>0</v>
      </c>
    </row>
    <row r="14" spans="1:6">
      <c r="A14" s="11" t="str">
        <f>C1&amp;".e20.211"</f>
        <v>Company Code.e20.211</v>
      </c>
      <c r="B14" s="492">
        <f>'CB20'!$B$20</f>
        <v>0</v>
      </c>
      <c r="C14" s="492">
        <f>'CB20'!$D$20</f>
        <v>0</v>
      </c>
      <c r="D14" s="492">
        <f>'CB20'!$F$20</f>
        <v>0</v>
      </c>
      <c r="E14" s="492">
        <f>'CB20'!$H$20</f>
        <v>0</v>
      </c>
      <c r="F14" s="492">
        <f>'CB20'!$J$20</f>
        <v>0</v>
      </c>
    </row>
    <row r="15" spans="1:6">
      <c r="A15" s="11" t="str">
        <f>C1&amp;".e20.212"</f>
        <v>Company Code.e20.212</v>
      </c>
      <c r="B15" s="785">
        <f>'CB20'!$B$21</f>
        <v>0</v>
      </c>
      <c r="C15" s="785">
        <f>'CB20'!$D$21</f>
        <v>0</v>
      </c>
      <c r="D15" s="785">
        <f>'CB20'!$F$21</f>
        <v>0</v>
      </c>
      <c r="E15" s="785">
        <f>'CB20'!$H$21</f>
        <v>0</v>
      </c>
      <c r="F15" s="785">
        <f>'CB20'!$J$21</f>
        <v>0</v>
      </c>
    </row>
    <row r="16" spans="1:6">
      <c r="A16" s="11" t="str">
        <f>C1&amp;".e20.24"</f>
        <v>Company Code.e20.24</v>
      </c>
      <c r="B16" s="492">
        <f>'CB20'!$B$22</f>
        <v>0</v>
      </c>
      <c r="C16" s="492">
        <f>'CB20'!$D$22</f>
        <v>0</v>
      </c>
      <c r="D16" s="492">
        <f>'CB20'!$F$22</f>
        <v>0</v>
      </c>
      <c r="E16" s="492">
        <f>'CB20'!$H$22</f>
        <v>0</v>
      </c>
      <c r="F16" s="492">
        <f>'CB20'!$J$22</f>
        <v>0</v>
      </c>
    </row>
    <row r="17" spans="1:6">
      <c r="A17" s="11" t="str">
        <f>C1&amp;".e20.26"</f>
        <v>Company Code.e20.26</v>
      </c>
      <c r="B17" s="492">
        <f>'CB20'!$B$23</f>
        <v>0</v>
      </c>
      <c r="C17" s="492">
        <f>'CB20'!$D$23</f>
        <v>0</v>
      </c>
      <c r="D17" s="492">
        <f>'CB20'!$F$23</f>
        <v>0</v>
      </c>
      <c r="E17" s="492">
        <f>'CB20'!$H$23</f>
        <v>0</v>
      </c>
      <c r="F17" s="492">
        <f>'CB20'!$J$23</f>
        <v>0</v>
      </c>
    </row>
    <row r="18" spans="1:6">
      <c r="A18" s="11" t="str">
        <f>C1&amp;".e20.27"</f>
        <v>Company Code.e20.27</v>
      </c>
      <c r="B18" s="492">
        <f>'CB20'!$B$24</f>
        <v>0</v>
      </c>
      <c r="C18" s="492">
        <f>'CB20'!$D$24</f>
        <v>0</v>
      </c>
      <c r="D18" s="492">
        <f>'CB20'!$F$24</f>
        <v>0</v>
      </c>
      <c r="E18" s="492">
        <f>'CB20'!$H$24</f>
        <v>0</v>
      </c>
      <c r="F18" s="492">
        <f>'CB20'!$J$24</f>
        <v>0</v>
      </c>
    </row>
    <row r="19" spans="1:6">
      <c r="A19" s="11" t="str">
        <f>C1&amp;".e20.2"</f>
        <v>Company Code.e20.2</v>
      </c>
      <c r="B19" s="492">
        <f>'CB20'!$B$25</f>
        <v>0</v>
      </c>
      <c r="C19" s="492">
        <f>'CB20'!$D$25</f>
        <v>0</v>
      </c>
      <c r="D19" s="492">
        <f>'CB20'!$F$25</f>
        <v>0</v>
      </c>
      <c r="E19" s="492">
        <f>'CB20'!$H$25</f>
        <v>0</v>
      </c>
      <c r="F19" s="492">
        <f>'CB20'!$J$25</f>
        <v>0</v>
      </c>
    </row>
    <row r="20" spans="1:6">
      <c r="A20" s="11" t="str">
        <f>C1&amp;".e20.NET_ASSETS"</f>
        <v>Company Code.e20.NET_ASSETS</v>
      </c>
      <c r="B20" s="492">
        <f>'CB20'!$B$28</f>
        <v>0</v>
      </c>
      <c r="C20" s="492">
        <f>'CB20'!$D$28</f>
        <v>0</v>
      </c>
      <c r="D20" s="492">
        <f>'CB20'!$F$28</f>
        <v>0</v>
      </c>
      <c r="E20" s="492">
        <f>'CB20'!$H$28</f>
        <v>0</v>
      </c>
      <c r="F20" s="492">
        <f>'CB20'!$J$28</f>
        <v>0</v>
      </c>
    </row>
    <row r="21" spans="1:6">
      <c r="A21" s="11" t="str">
        <f>C1&amp;".e20.31"</f>
        <v>Company Code.e20.31</v>
      </c>
      <c r="B21" s="492">
        <f>'CB20'!$B$33</f>
        <v>0</v>
      </c>
      <c r="C21" s="492">
        <f>'CB20'!$D$33</f>
        <v>0</v>
      </c>
      <c r="D21" s="492">
        <f>'CB20'!$F$33</f>
        <v>0</v>
      </c>
      <c r="E21" s="492">
        <f>'CB20'!$H$33</f>
        <v>0</v>
      </c>
      <c r="F21" s="492">
        <f>'CB20'!$J$33</f>
        <v>0</v>
      </c>
    </row>
    <row r="22" spans="1:6">
      <c r="A22" s="11" t="str">
        <f>C1&amp;".e20.3101"</f>
        <v>Company Code.e20.3101</v>
      </c>
      <c r="B22" s="492">
        <f>'CB20'!$B$34</f>
        <v>0</v>
      </c>
      <c r="C22" s="492">
        <f>'CB20'!$D$34</f>
        <v>0</v>
      </c>
      <c r="D22" s="492">
        <f>'CB20'!$F$34</f>
        <v>0</v>
      </c>
      <c r="E22" s="492">
        <f>'CB20'!$H$34</f>
        <v>0</v>
      </c>
      <c r="F22" s="492">
        <f>'CB20'!$J$34</f>
        <v>0</v>
      </c>
    </row>
    <row r="23" spans="1:6">
      <c r="A23" s="11" t="str">
        <f>C1&amp;".e20.3102"</f>
        <v>Company Code.e20.3102</v>
      </c>
      <c r="B23" s="492">
        <f>'CB20'!$B$35</f>
        <v>0</v>
      </c>
      <c r="C23" s="492">
        <f>'CB20'!$D$35</f>
        <v>0</v>
      </c>
      <c r="D23" s="492">
        <f>'CB20'!$F$35</f>
        <v>0</v>
      </c>
      <c r="E23" s="492">
        <f>'CB20'!$H$35</f>
        <v>0</v>
      </c>
      <c r="F23" s="492">
        <f>'CB20'!$J$35</f>
        <v>0</v>
      </c>
    </row>
    <row r="24" spans="1:6">
      <c r="A24" s="11" t="str">
        <f>C1&amp;".e20.310201"</f>
        <v>Company Code.e20.310201</v>
      </c>
      <c r="B24" s="492">
        <f>'CB20'!$B$36</f>
        <v>0</v>
      </c>
      <c r="C24" s="492">
        <f>'CB20'!$D$36</f>
        <v>0</v>
      </c>
      <c r="D24" s="492">
        <f>'CB20'!$F$36</f>
        <v>0</v>
      </c>
      <c r="E24" s="492">
        <f>'CB20'!$H$36</f>
        <v>0</v>
      </c>
      <c r="F24" s="492">
        <f>'CB20'!$J$36</f>
        <v>0</v>
      </c>
    </row>
    <row r="25" spans="1:6">
      <c r="A25" s="11" t="str">
        <f>C1&amp;".e20.310202"</f>
        <v>Company Code.e20.310202</v>
      </c>
      <c r="B25" s="492">
        <f>'CB20'!$B$37</f>
        <v>0</v>
      </c>
      <c r="C25" s="492">
        <f>'CB20'!$D$37</f>
        <v>0</v>
      </c>
      <c r="D25" s="492">
        <f>'CB20'!$F$37</f>
        <v>0</v>
      </c>
      <c r="E25" s="492">
        <f>'CB20'!$H$37</f>
        <v>0</v>
      </c>
      <c r="F25" s="492">
        <f>'CB20'!$J$37</f>
        <v>0</v>
      </c>
    </row>
    <row r="26" spans="1:6">
      <c r="A26" s="11" t="str">
        <f>C1&amp;".e20.310203"</f>
        <v>Company Code.e20.310203</v>
      </c>
      <c r="B26" s="492">
        <f>'CB20'!$B$38</f>
        <v>0</v>
      </c>
      <c r="C26" s="492">
        <f>'CB20'!$D$38</f>
        <v>0</v>
      </c>
      <c r="D26" s="492">
        <f>'CB20'!$F$38</f>
        <v>0</v>
      </c>
      <c r="E26" s="492">
        <f>'CB20'!$H$38</f>
        <v>0</v>
      </c>
      <c r="F26" s="492">
        <f>'CB20'!$J$38</f>
        <v>0</v>
      </c>
    </row>
    <row r="27" spans="1:6">
      <c r="A27" s="11" t="str">
        <f>C1&amp;".e20.32"</f>
        <v>Company Code.e20.32</v>
      </c>
      <c r="B27" s="492">
        <f>'CB20'!$B$39</f>
        <v>0</v>
      </c>
      <c r="C27" s="492">
        <f>'CB20'!$D$39</f>
        <v>0</v>
      </c>
      <c r="D27" s="492">
        <f>'CB20'!$F$39</f>
        <v>0</v>
      </c>
      <c r="E27" s="492">
        <f>'CB20'!$H$39</f>
        <v>0</v>
      </c>
      <c r="F27" s="492">
        <f>'CB20'!$J$39</f>
        <v>0</v>
      </c>
    </row>
    <row r="28" spans="1:6">
      <c r="A28" s="11" t="str">
        <f>C1&amp;".e20.3201"</f>
        <v>Company Code.e20.3201</v>
      </c>
      <c r="B28" s="492">
        <f>'CB20'!$B$40</f>
        <v>0</v>
      </c>
      <c r="C28" s="492">
        <f>'CB20'!$D$40</f>
        <v>0</v>
      </c>
      <c r="D28" s="492">
        <f>'CB20'!$F$40</f>
        <v>0</v>
      </c>
      <c r="E28" s="492">
        <f>'CB20'!$H$40</f>
        <v>0</v>
      </c>
      <c r="F28" s="492">
        <f>'CB20'!$J$40</f>
        <v>0</v>
      </c>
    </row>
    <row r="29" spans="1:6">
      <c r="A29" s="11" t="str">
        <f>C1&amp;".e20.3202"</f>
        <v>Company Code.e20.3202</v>
      </c>
      <c r="B29" s="492">
        <f>'CB20'!$B$41</f>
        <v>0</v>
      </c>
      <c r="C29" s="492">
        <f>'CB20'!$D$41</f>
        <v>0</v>
      </c>
      <c r="D29" s="492">
        <f>'CB20'!$F$41</f>
        <v>0</v>
      </c>
      <c r="E29" s="492">
        <f>'CB20'!$H$41</f>
        <v>0</v>
      </c>
      <c r="F29" s="492">
        <f>'CB20'!$J$41</f>
        <v>0</v>
      </c>
    </row>
    <row r="30" spans="1:6">
      <c r="A30" s="11" t="str">
        <f>C1&amp;".e20.320201"</f>
        <v>Company Code.e20.320201</v>
      </c>
      <c r="B30" s="492">
        <f>'CB20'!$B$42</f>
        <v>0</v>
      </c>
      <c r="C30" s="492">
        <f>'CB20'!$D$42</f>
        <v>0</v>
      </c>
      <c r="D30" s="492">
        <f>'CB20'!$F$42</f>
        <v>0</v>
      </c>
      <c r="E30" s="492">
        <f>'CB20'!$H$42</f>
        <v>0</v>
      </c>
      <c r="F30" s="492">
        <f>'CB20'!$J$42</f>
        <v>0</v>
      </c>
    </row>
    <row r="31" spans="1:6">
      <c r="A31" s="11" t="str">
        <f>C1&amp;".e20.320202"</f>
        <v>Company Code.e20.320202</v>
      </c>
      <c r="B31" s="492">
        <f>'CB20'!$B$43</f>
        <v>0</v>
      </c>
      <c r="C31" s="492">
        <f>'CB20'!$D$43</f>
        <v>0</v>
      </c>
      <c r="D31" s="492">
        <f>'CB20'!$F$43</f>
        <v>0</v>
      </c>
      <c r="E31" s="492">
        <f>'CB20'!$H$43</f>
        <v>0</v>
      </c>
      <c r="F31" s="492">
        <f>'CB20'!$J$43</f>
        <v>0</v>
      </c>
    </row>
    <row r="32" spans="1:6">
      <c r="A32" s="11" t="str">
        <f>C1&amp;".e20.320203"</f>
        <v>Company Code.e20.320203</v>
      </c>
      <c r="B32" s="492">
        <f>'CB20'!$B$44</f>
        <v>0</v>
      </c>
      <c r="C32" s="492">
        <f>'CB20'!$D$44</f>
        <v>0</v>
      </c>
      <c r="D32" s="492">
        <f>'CB20'!$F$44</f>
        <v>0</v>
      </c>
      <c r="E32" s="492">
        <f>'CB20'!$H$44</f>
        <v>0</v>
      </c>
      <c r="F32" s="492">
        <f>'CB20'!$J$44</f>
        <v>0</v>
      </c>
    </row>
    <row r="33" spans="1:6">
      <c r="A33" s="11" t="str">
        <f>C1&amp;".e20.33"</f>
        <v>Company Code.e20.33</v>
      </c>
      <c r="B33" s="492">
        <f>'CB20'!$B$45</f>
        <v>0</v>
      </c>
      <c r="C33" s="492">
        <f>'CB20'!$D$45</f>
        <v>0</v>
      </c>
      <c r="D33" s="492">
        <f>'CB20'!$F$45</f>
        <v>0</v>
      </c>
      <c r="E33" s="802"/>
      <c r="F33" s="802"/>
    </row>
    <row r="34" spans="1:6">
      <c r="A34" s="11" t="str">
        <f>C1&amp;".e20.3301"</f>
        <v>Company Code.e20.3301</v>
      </c>
      <c r="B34" s="492">
        <f>'CB20'!$B$46</f>
        <v>0</v>
      </c>
      <c r="C34" s="492">
        <f>'CB20'!$D$46</f>
        <v>0</v>
      </c>
      <c r="D34" s="492">
        <f>'CB20'!$F$46</f>
        <v>0</v>
      </c>
      <c r="E34" s="802"/>
      <c r="F34" s="802"/>
    </row>
    <row r="35" spans="1:6">
      <c r="A35" s="11" t="str">
        <f>C1&amp;".e20.3302"</f>
        <v>Company Code.e20.3302</v>
      </c>
      <c r="B35" s="492">
        <f>'CB20'!$B$47</f>
        <v>0</v>
      </c>
      <c r="C35" s="492">
        <f>'CB20'!$D$47</f>
        <v>0</v>
      </c>
      <c r="D35" s="492">
        <f>'CB20'!$F$47</f>
        <v>0</v>
      </c>
      <c r="E35" s="802"/>
      <c r="F35" s="802"/>
    </row>
    <row r="36" spans="1:6">
      <c r="A36" s="11" t="str">
        <f>C1&amp;".e20.330201"</f>
        <v>Company Code.e20.330201</v>
      </c>
      <c r="B36" s="492">
        <f>'CB20'!$B$48</f>
        <v>0</v>
      </c>
      <c r="C36" s="492">
        <f>'CB20'!$D$48</f>
        <v>0</v>
      </c>
      <c r="D36" s="492">
        <f>'CB20'!$F$48</f>
        <v>0</v>
      </c>
      <c r="E36" s="802"/>
      <c r="F36" s="802"/>
    </row>
    <row r="37" spans="1:6">
      <c r="A37" s="11" t="str">
        <f>C1&amp;".e20.330202"</f>
        <v>Company Code.e20.330202</v>
      </c>
      <c r="B37" s="492">
        <f>'CB20'!$B$49</f>
        <v>0</v>
      </c>
      <c r="C37" s="492">
        <f>'CB20'!$D$49</f>
        <v>0</v>
      </c>
      <c r="D37" s="492">
        <f>'CB20'!$F$49</f>
        <v>0</v>
      </c>
      <c r="E37" s="802"/>
      <c r="F37" s="802"/>
    </row>
    <row r="38" spans="1:6">
      <c r="A38" s="11" t="str">
        <f>C1&amp;".e20.330203"</f>
        <v>Company Code.e20.330203</v>
      </c>
      <c r="B38" s="492">
        <f>'CB20'!$B$50</f>
        <v>0</v>
      </c>
      <c r="C38" s="492">
        <f>'CB20'!$D$50</f>
        <v>0</v>
      </c>
      <c r="D38" s="492">
        <f>'CB20'!$F$50</f>
        <v>0</v>
      </c>
      <c r="E38" s="802"/>
      <c r="F38" s="802"/>
    </row>
    <row r="39" spans="1:6">
      <c r="A39" s="11" t="str">
        <f>C1&amp;".e20.330204"</f>
        <v>Company Code.e20.330204</v>
      </c>
      <c r="B39" s="492">
        <f>'CB20'!$B$51</f>
        <v>0</v>
      </c>
      <c r="C39" s="492">
        <f>'CB20'!$D$51</f>
        <v>0</v>
      </c>
      <c r="D39" s="492">
        <f>'CB20'!$F$51</f>
        <v>0</v>
      </c>
      <c r="E39" s="802"/>
      <c r="F39" s="802"/>
    </row>
    <row r="40" spans="1:6">
      <c r="A40" s="11" t="str">
        <f>C1&amp;".e20.330205"</f>
        <v>Company Code.e20.330205</v>
      </c>
      <c r="B40" s="492">
        <f>'CB20'!$B$52</f>
        <v>0</v>
      </c>
      <c r="C40" s="492">
        <f>'CB20'!$D$52</f>
        <v>0</v>
      </c>
      <c r="D40" s="492">
        <f>'CB20'!$F$52</f>
        <v>0</v>
      </c>
      <c r="E40" s="802"/>
      <c r="F40" s="802"/>
    </row>
    <row r="41" spans="1:6">
      <c r="A41" s="11" t="str">
        <f>C1&amp;".e20.330206"</f>
        <v>Company Code.e20.330206</v>
      </c>
      <c r="B41" s="492">
        <f>'CB20'!$B$53</f>
        <v>0</v>
      </c>
      <c r="C41" s="492">
        <f>'CB20'!$D$53</f>
        <v>0</v>
      </c>
      <c r="D41" s="492">
        <f>'CB20'!$F$53</f>
        <v>0</v>
      </c>
      <c r="E41" s="802"/>
      <c r="F41" s="802"/>
    </row>
    <row r="42" spans="1:6">
      <c r="A42" s="11" t="str">
        <f>C1&amp;".e20.330207"</f>
        <v>Company Code.e20.330207</v>
      </c>
      <c r="B42" s="492">
        <f>'CB20'!$B$54</f>
        <v>0</v>
      </c>
      <c r="C42" s="492">
        <f>'CB20'!$D$54</f>
        <v>0</v>
      </c>
      <c r="D42" s="492">
        <f>'CB20'!$F$54</f>
        <v>0</v>
      </c>
      <c r="E42" s="802"/>
      <c r="F42" s="802"/>
    </row>
    <row r="43" spans="1:6">
      <c r="A43" s="11" t="str">
        <f>C1&amp;".e20.3303"</f>
        <v>Company Code.e20.3303</v>
      </c>
      <c r="B43" s="492">
        <f>'CB20'!$B$55</f>
        <v>0</v>
      </c>
      <c r="C43" s="492">
        <f>'CB20'!$D$55</f>
        <v>0</v>
      </c>
      <c r="D43" s="492">
        <f>'CB20'!$F$55</f>
        <v>0</v>
      </c>
      <c r="E43" s="802"/>
      <c r="F43" s="802"/>
    </row>
    <row r="44" spans="1:6">
      <c r="A44" s="11" t="str">
        <f>C1&amp;".e20.330301"</f>
        <v>Company Code.e20.330301</v>
      </c>
      <c r="B44" s="492">
        <f>'CB20'!$B$56</f>
        <v>0</v>
      </c>
      <c r="C44" s="492">
        <f>'CB20'!$D$56</f>
        <v>0</v>
      </c>
      <c r="D44" s="492">
        <f>'CB20'!$F$56</f>
        <v>0</v>
      </c>
      <c r="E44" s="802"/>
      <c r="F44" s="802"/>
    </row>
    <row r="45" spans="1:6">
      <c r="A45" s="11" t="str">
        <f>C1&amp;".e20.330302"</f>
        <v>Company Code.e20.330302</v>
      </c>
      <c r="B45" s="492">
        <f>'CB20'!$B$57</f>
        <v>0</v>
      </c>
      <c r="C45" s="492">
        <f>'CB20'!$D$57</f>
        <v>0</v>
      </c>
      <c r="D45" s="492">
        <f>'CB20'!$F$57</f>
        <v>0</v>
      </c>
      <c r="E45" s="802"/>
      <c r="F45" s="802"/>
    </row>
    <row r="46" spans="1:6">
      <c r="A46" s="11" t="str">
        <f>C1&amp;".e20.3304"</f>
        <v>Company Code.e20.3304</v>
      </c>
      <c r="B46" s="785">
        <f>'CB20'!$B$58</f>
        <v>0</v>
      </c>
      <c r="C46" s="785">
        <f>'CB20'!$D$58</f>
        <v>0</v>
      </c>
      <c r="D46" s="785">
        <f>'CB20'!$F$58</f>
        <v>0</v>
      </c>
      <c r="E46" s="802"/>
      <c r="F46" s="802"/>
    </row>
    <row r="47" spans="1:6">
      <c r="A47" s="11" t="str">
        <f>C1&amp;".e20.34"</f>
        <v>Company Code.e20.34</v>
      </c>
      <c r="B47" s="492">
        <f>'CB20'!$B$59</f>
        <v>0</v>
      </c>
      <c r="C47" s="492">
        <f>'CB20'!$D$59</f>
        <v>0</v>
      </c>
      <c r="D47" s="492">
        <f>'CB20'!$F$59</f>
        <v>0</v>
      </c>
      <c r="E47" s="492">
        <f>'CB20'!$H$59</f>
        <v>0</v>
      </c>
      <c r="F47" s="492">
        <f>'CB20'!$J$59</f>
        <v>0</v>
      </c>
    </row>
    <row r="48" spans="1:6">
      <c r="A48" s="11" t="str">
        <f>C1&amp;".e20.35"</f>
        <v>Company Code.e20.35</v>
      </c>
      <c r="B48" s="492">
        <f>'CB20'!$B$60</f>
        <v>0</v>
      </c>
      <c r="C48" s="492">
        <f>'CB20'!$D$60</f>
        <v>0</v>
      </c>
      <c r="D48" s="492">
        <f>'CB20'!$F$60</f>
        <v>0</v>
      </c>
      <c r="E48" s="802"/>
      <c r="F48" s="802"/>
    </row>
    <row r="49" spans="1:6">
      <c r="A49" s="11" t="str">
        <f>C1&amp;".e20.3501"</f>
        <v>Company Code.e20.3501</v>
      </c>
      <c r="B49" s="492">
        <f>'CB20'!$B$61</f>
        <v>0</v>
      </c>
      <c r="C49" s="492">
        <f>'CB20'!$D$61</f>
        <v>0</v>
      </c>
      <c r="D49" s="492">
        <f>'CB20'!$F$61</f>
        <v>0</v>
      </c>
      <c r="E49" s="802"/>
      <c r="F49" s="802"/>
    </row>
    <row r="50" spans="1:6">
      <c r="A50" s="11" t="str">
        <f>C1&amp;".e20.3502"</f>
        <v>Company Code.e20.3502</v>
      </c>
      <c r="B50" s="492">
        <f>'CB20'!$B$62</f>
        <v>0</v>
      </c>
      <c r="C50" s="492">
        <f>'CB20'!$D$62</f>
        <v>0</v>
      </c>
      <c r="D50" s="492">
        <f>'CB20'!$F$62</f>
        <v>0</v>
      </c>
      <c r="E50" s="802"/>
      <c r="F50" s="802"/>
    </row>
    <row r="51" spans="1:6">
      <c r="A51" s="11" t="str">
        <f>C1&amp;".e20.3503"</f>
        <v>Company Code.e20.3503</v>
      </c>
      <c r="B51" s="492">
        <f>'CB20'!$B$63</f>
        <v>0</v>
      </c>
      <c r="C51" s="492">
        <f>'CB20'!$D$63</f>
        <v>0</v>
      </c>
      <c r="D51" s="492">
        <f>'CB20'!$F$63</f>
        <v>0</v>
      </c>
      <c r="E51" s="802"/>
      <c r="F51" s="802"/>
    </row>
    <row r="52" spans="1:6">
      <c r="A52" s="11" t="str">
        <f>C1&amp;".e20.3"</f>
        <v>Company Code.e20.3</v>
      </c>
      <c r="B52" s="492">
        <f>'CB20'!$B$65</f>
        <v>0</v>
      </c>
      <c r="C52" s="492">
        <f>'CB20'!$D$65</f>
        <v>0</v>
      </c>
      <c r="D52" s="492">
        <f>'CB20'!$F$65</f>
        <v>0</v>
      </c>
      <c r="E52" s="492">
        <f>'CB20'!$H$65</f>
        <v>0</v>
      </c>
      <c r="F52" s="492">
        <f>'CB20'!$J$65</f>
        <v>0</v>
      </c>
    </row>
    <row r="53" spans="1:6">
      <c r="A53" s="11" t="str">
        <f>C1&amp;".e20.1101"</f>
        <v>Company Code.e20.1101</v>
      </c>
      <c r="B53" s="492">
        <f>'CB20'!$B$70</f>
        <v>0</v>
      </c>
      <c r="C53" s="492">
        <f>'CB20'!$D$70</f>
        <v>0</v>
      </c>
      <c r="D53" s="802"/>
      <c r="E53" s="802"/>
      <c r="F53" s="492">
        <f>'CB20'!$J$70</f>
        <v>0</v>
      </c>
    </row>
    <row r="54" spans="1:6">
      <c r="A54" s="11" t="str">
        <f>C1&amp;".e20.1102"</f>
        <v>Company Code.e20.1102</v>
      </c>
      <c r="B54" s="492">
        <f>'CB20'!$B$71</f>
        <v>0</v>
      </c>
      <c r="C54" s="492">
        <f>'CB20'!$D$71</f>
        <v>0</v>
      </c>
      <c r="D54" s="492">
        <f>'CB20'!$F$71</f>
        <v>0</v>
      </c>
      <c r="E54" s="492">
        <f>'CB20'!$H$71</f>
        <v>0</v>
      </c>
      <c r="F54" s="492">
        <f>'CB20'!$J$71</f>
        <v>0</v>
      </c>
    </row>
    <row r="55" spans="1:6">
      <c r="A55" s="11" t="str">
        <f>C1&amp;".e20.1103"</f>
        <v>Company Code.e20.1103</v>
      </c>
      <c r="B55" s="492">
        <f>'CB20'!$B$72</f>
        <v>0</v>
      </c>
      <c r="C55" s="492">
        <f>'CB20'!$D$72</f>
        <v>0</v>
      </c>
      <c r="D55" s="492">
        <f>'CB20'!$F$72</f>
        <v>0</v>
      </c>
      <c r="E55" s="492">
        <f>'CB20'!$H$72</f>
        <v>0</v>
      </c>
      <c r="F55" s="492">
        <f>'CB20'!$J$72</f>
        <v>0</v>
      </c>
    </row>
    <row r="56" spans="1:6">
      <c r="A56" s="11" t="str">
        <f>C1&amp;".e20.11"</f>
        <v>Company Code.e20.11</v>
      </c>
      <c r="B56" s="492">
        <f>'CB20'!$B74</f>
        <v>0</v>
      </c>
      <c r="C56" s="492">
        <f>'CB20'!$D$74</f>
        <v>0</v>
      </c>
      <c r="D56" s="492">
        <f>'CB20'!$F$74</f>
        <v>0</v>
      </c>
      <c r="E56" s="492">
        <f>'CB20'!$H$74</f>
        <v>0</v>
      </c>
      <c r="F56" s="492">
        <f>'CB20'!$J$74</f>
        <v>0</v>
      </c>
    </row>
    <row r="57" spans="1:6">
      <c r="A57" s="11" t="str">
        <f>C1&amp;".e20.1301"</f>
        <v>Company Code.e20.1301</v>
      </c>
      <c r="B57" s="492">
        <f>'CB20'!$B$79</f>
        <v>0</v>
      </c>
      <c r="C57" s="492">
        <f>'CB20'!$D$79</f>
        <v>0</v>
      </c>
      <c r="D57" s="492">
        <f>'CB20'!$F$79</f>
        <v>0</v>
      </c>
      <c r="E57" s="492">
        <f>'CB20'!$H$79</f>
        <v>0</v>
      </c>
      <c r="F57" s="492">
        <f>'CB20'!$J$79</f>
        <v>0</v>
      </c>
    </row>
    <row r="58" spans="1:6">
      <c r="A58" s="11" t="str">
        <f>C1&amp;".e20.1302"</f>
        <v>Company Code.e20.1302</v>
      </c>
      <c r="B58" s="492">
        <f>'CB20'!$B$80</f>
        <v>0</v>
      </c>
      <c r="C58" s="492">
        <f>'CB20'!$D$80</f>
        <v>0</v>
      </c>
      <c r="D58" s="492">
        <f>'CB20'!$F$80</f>
        <v>0</v>
      </c>
      <c r="E58" s="492">
        <f>'CB20'!$H$80</f>
        <v>0</v>
      </c>
      <c r="F58" s="492">
        <f>'CB20'!$J$80</f>
        <v>0</v>
      </c>
    </row>
    <row r="59" spans="1:6">
      <c r="A59" s="11" t="str">
        <f>C1&amp;".e20.130201"</f>
        <v>Company Code.e20.130201</v>
      </c>
      <c r="B59" s="492">
        <f>'CB20'!$B$81</f>
        <v>0</v>
      </c>
      <c r="C59" s="492">
        <f>'CB20'!$D$81</f>
        <v>0</v>
      </c>
      <c r="D59" s="492">
        <f>'CB20'!$F$81</f>
        <v>0</v>
      </c>
      <c r="E59" s="492">
        <f>'CB20'!$H$81</f>
        <v>0</v>
      </c>
      <c r="F59" s="492">
        <f>'CB20'!$J$81</f>
        <v>0</v>
      </c>
    </row>
    <row r="60" spans="1:6">
      <c r="A60" s="11" t="str">
        <f>C1&amp;".e20.130202"</f>
        <v>Company Code.e20.130202</v>
      </c>
      <c r="B60" s="492">
        <f>'CB20'!$B$82</f>
        <v>0</v>
      </c>
      <c r="C60" s="492">
        <f>'CB20'!$D$82</f>
        <v>0</v>
      </c>
      <c r="D60" s="492">
        <f>'CB20'!$F$82</f>
        <v>0</v>
      </c>
      <c r="E60" s="492">
        <f>'CB20'!$H$82</f>
        <v>0</v>
      </c>
      <c r="F60" s="492">
        <f>'CB20'!$J$82</f>
        <v>0</v>
      </c>
    </row>
    <row r="61" spans="1:6">
      <c r="A61" s="11" t="str">
        <f>C1&amp;".e20.1303"</f>
        <v>Company Code.e20.1303</v>
      </c>
      <c r="B61" s="492">
        <f>'CB20'!$B$83</f>
        <v>0</v>
      </c>
      <c r="C61" s="492">
        <f>'CB20'!$D$83</f>
        <v>0</v>
      </c>
      <c r="D61" s="492">
        <f>'CB20'!$F$83</f>
        <v>0</v>
      </c>
      <c r="E61" s="492">
        <f>'CB20'!$H$83</f>
        <v>0</v>
      </c>
      <c r="F61" s="492">
        <f>'CB20'!$J$83</f>
        <v>0</v>
      </c>
    </row>
    <row r="62" spans="1:6">
      <c r="A62" s="11" t="str">
        <f>C1&amp;".e20.130301"</f>
        <v>Company Code.e20.130301</v>
      </c>
      <c r="B62" s="492">
        <f>'CB20'!$B$84</f>
        <v>0</v>
      </c>
      <c r="C62" s="492">
        <f>'CB20'!$D$84</f>
        <v>0</v>
      </c>
      <c r="D62" s="492">
        <f>'CB20'!$F$84</f>
        <v>0</v>
      </c>
      <c r="E62" s="492">
        <f>'CB20'!$H$84</f>
        <v>0</v>
      </c>
      <c r="F62" s="492">
        <f>'CB20'!$J$84</f>
        <v>0</v>
      </c>
    </row>
    <row r="63" spans="1:6">
      <c r="A63" s="11" t="str">
        <f>C1&amp;".e20.130302"</f>
        <v>Company Code.e20.130302</v>
      </c>
      <c r="B63" s="492">
        <f>'CB20'!$B$85</f>
        <v>0</v>
      </c>
      <c r="C63" s="492">
        <f>'CB20'!$D$85</f>
        <v>0</v>
      </c>
      <c r="D63" s="492">
        <f>'CB20'!$F$85</f>
        <v>0</v>
      </c>
      <c r="E63" s="492">
        <f>'CB20'!$H$85</f>
        <v>0</v>
      </c>
      <c r="F63" s="492">
        <f>'CB20'!$J$85</f>
        <v>0</v>
      </c>
    </row>
    <row r="64" spans="1:6">
      <c r="A64" s="11" t="str">
        <f>C1&amp;".e20.1304"</f>
        <v>Company Code.e20.1304</v>
      </c>
      <c r="B64" s="492">
        <f>'CB20'!$B$86</f>
        <v>0</v>
      </c>
      <c r="C64" s="492">
        <f>'CB20'!$D$86</f>
        <v>0</v>
      </c>
      <c r="D64" s="492">
        <f>'CB20'!$F$86</f>
        <v>0</v>
      </c>
      <c r="E64" s="492">
        <f>'CB20'!$H$86</f>
        <v>0</v>
      </c>
      <c r="F64" s="492">
        <f>'CB20'!$J$86</f>
        <v>0</v>
      </c>
    </row>
    <row r="65" spans="1:6">
      <c r="A65" s="11" t="str">
        <f>C1&amp;".e20.130401"</f>
        <v>Company Code.e20.130401</v>
      </c>
      <c r="B65" s="492">
        <f>'CB20'!$B$87</f>
        <v>0</v>
      </c>
      <c r="C65" s="492">
        <f>'CB20'!$D$87</f>
        <v>0</v>
      </c>
      <c r="D65" s="492">
        <f>'CB20'!$F$87</f>
        <v>0</v>
      </c>
      <c r="E65" s="492">
        <f>'CB20'!$H$87</f>
        <v>0</v>
      </c>
      <c r="F65" s="492">
        <f>'CB20'!$J$87</f>
        <v>0</v>
      </c>
    </row>
    <row r="66" spans="1:6">
      <c r="A66" s="11" t="str">
        <f>C1&amp;".e20.13040101"</f>
        <v>Company Code.e20.13040101</v>
      </c>
      <c r="B66" s="492">
        <f>'CB20'!$B$88</f>
        <v>0</v>
      </c>
      <c r="C66" s="492">
        <f>'CB20'!$D$88</f>
        <v>0</v>
      </c>
      <c r="D66" s="492">
        <f>'CB20'!$F$88</f>
        <v>0</v>
      </c>
      <c r="E66" s="492">
        <f>'CB20'!$H$88</f>
        <v>0</v>
      </c>
      <c r="F66" s="492">
        <f>'CB20'!$J$88</f>
        <v>0</v>
      </c>
    </row>
    <row r="67" spans="1:6">
      <c r="A67" s="11" t="str">
        <f>C1&amp;".e20.13040102"</f>
        <v>Company Code.e20.13040102</v>
      </c>
      <c r="B67" s="492">
        <f>'CB20'!$B$89</f>
        <v>0</v>
      </c>
      <c r="C67" s="492">
        <f>'CB20'!$D$89</f>
        <v>0</v>
      </c>
      <c r="D67" s="492">
        <f>'CB20'!$F$89</f>
        <v>0</v>
      </c>
      <c r="E67" s="492">
        <f>'CB20'!$H$89</f>
        <v>0</v>
      </c>
      <c r="F67" s="492">
        <f>'CB20'!$J$89</f>
        <v>0</v>
      </c>
    </row>
    <row r="68" spans="1:6">
      <c r="A68" s="11" t="str">
        <f>C1&amp;".e20.130402"</f>
        <v>Company Code.e20.130402</v>
      </c>
      <c r="B68" s="492">
        <f>'CB20'!$B$90</f>
        <v>0</v>
      </c>
      <c r="C68" s="492">
        <f>'CB20'!$D$90</f>
        <v>0</v>
      </c>
      <c r="D68" s="492">
        <f>'CB20'!$F$90</f>
        <v>0</v>
      </c>
      <c r="E68" s="492">
        <f>'CB20'!$H$90</f>
        <v>0</v>
      </c>
      <c r="F68" s="492">
        <f>'CB20'!$J$90</f>
        <v>0</v>
      </c>
    </row>
    <row r="69" spans="1:6">
      <c r="A69" s="11" t="str">
        <f>C1&amp;".e20.13040201"</f>
        <v>Company Code.e20.13040201</v>
      </c>
      <c r="B69" s="492">
        <f>'CB20'!$B$91</f>
        <v>0</v>
      </c>
      <c r="C69" s="492">
        <f>'CB20'!$D$91</f>
        <v>0</v>
      </c>
      <c r="D69" s="492">
        <f>'CB20'!$F$91</f>
        <v>0</v>
      </c>
      <c r="E69" s="492">
        <f>'CB20'!$H$91</f>
        <v>0</v>
      </c>
      <c r="F69" s="492">
        <f>'CB20'!$J$91</f>
        <v>0</v>
      </c>
    </row>
    <row r="70" spans="1:6">
      <c r="A70" s="11" t="str">
        <f>C1&amp;".e20.13040202"</f>
        <v>Company Code.e20.13040202</v>
      </c>
      <c r="B70" s="492">
        <f>'CB20'!$B$92</f>
        <v>0</v>
      </c>
      <c r="C70" s="492">
        <f>'CB20'!$D$92</f>
        <v>0</v>
      </c>
      <c r="D70" s="492">
        <f>'CB20'!$F$92</f>
        <v>0</v>
      </c>
      <c r="E70" s="492">
        <f>'CB20'!$H$92</f>
        <v>0</v>
      </c>
      <c r="F70" s="492">
        <f>'CB20'!$J$92</f>
        <v>0</v>
      </c>
    </row>
    <row r="71" spans="1:6">
      <c r="A71" s="11" t="str">
        <f>C1&amp;".e20.130403"</f>
        <v>Company Code.e20.130403</v>
      </c>
      <c r="B71" s="492">
        <f>'CB20'!$B$93</f>
        <v>0</v>
      </c>
      <c r="C71" s="492">
        <f>'CB20'!$D$93</f>
        <v>0</v>
      </c>
      <c r="D71" s="492">
        <f>'CB20'!$F$93</f>
        <v>0</v>
      </c>
      <c r="E71" s="492">
        <f>'CB20'!$H$93</f>
        <v>0</v>
      </c>
      <c r="F71" s="492">
        <f>'CB20'!$J$93</f>
        <v>0</v>
      </c>
    </row>
    <row r="72" spans="1:6">
      <c r="A72" s="11" t="str">
        <f>C1&amp;".e20.13040301"</f>
        <v>Company Code.e20.13040301</v>
      </c>
      <c r="B72" s="492">
        <f>'CB20'!$B$94</f>
        <v>0</v>
      </c>
      <c r="C72" s="492">
        <f>'CB20'!$D$94</f>
        <v>0</v>
      </c>
      <c r="D72" s="492">
        <f>'CB20'!$F$94</f>
        <v>0</v>
      </c>
      <c r="E72" s="492">
        <f>'CB20'!$H$94</f>
        <v>0</v>
      </c>
      <c r="F72" s="492">
        <f>'CB20'!$J$94</f>
        <v>0</v>
      </c>
    </row>
    <row r="73" spans="1:6">
      <c r="A73" s="11" t="str">
        <f>C1&amp;".e20.13040302"</f>
        <v>Company Code.e20.13040302</v>
      </c>
      <c r="B73" s="492">
        <f>'CB20'!$B$95</f>
        <v>0</v>
      </c>
      <c r="C73" s="492">
        <f>'CB20'!$D$95</f>
        <v>0</v>
      </c>
      <c r="D73" s="492">
        <f>'CB20'!$F$95</f>
        <v>0</v>
      </c>
      <c r="E73" s="492">
        <f>'CB20'!$H$95</f>
        <v>0</v>
      </c>
      <c r="F73" s="492">
        <f>'CB20'!$J$95</f>
        <v>0</v>
      </c>
    </row>
    <row r="74" spans="1:6">
      <c r="A74" s="11" t="str">
        <f>C1&amp;".e20.1305"</f>
        <v>Company Code.e20.1305</v>
      </c>
      <c r="B74" s="492">
        <f>'CB20'!$B$96</f>
        <v>0</v>
      </c>
      <c r="C74" s="492">
        <f>'CB20'!$D$96</f>
        <v>0</v>
      </c>
      <c r="D74" s="492">
        <f>'CB20'!$F$96</f>
        <v>0</v>
      </c>
      <c r="E74" s="492">
        <f>'CB20'!$H$96</f>
        <v>0</v>
      </c>
      <c r="F74" s="492">
        <f>'CB20'!$J$96</f>
        <v>0</v>
      </c>
    </row>
    <row r="75" spans="1:6">
      <c r="A75" s="11" t="str">
        <f>C1&amp;".e20.130501"</f>
        <v>Company Code.e20.130501</v>
      </c>
      <c r="B75" s="492">
        <f>'CB20'!$B$97</f>
        <v>0</v>
      </c>
      <c r="C75" s="492">
        <f>'CB20'!$D$97</f>
        <v>0</v>
      </c>
      <c r="D75" s="492">
        <f>'CB20'!$F$97</f>
        <v>0</v>
      </c>
      <c r="E75" s="492">
        <f>'CB20'!$H$97</f>
        <v>0</v>
      </c>
      <c r="F75" s="492">
        <f>'CB20'!$J$97</f>
        <v>0</v>
      </c>
    </row>
    <row r="76" spans="1:6">
      <c r="A76" s="11" t="str">
        <f>C1&amp;".e20.130502"</f>
        <v>Company Code.e20.130502</v>
      </c>
      <c r="B76" s="492">
        <f>'CB20'!$B$98</f>
        <v>0</v>
      </c>
      <c r="C76" s="492">
        <f>'CB20'!$D$98</f>
        <v>0</v>
      </c>
      <c r="D76" s="492">
        <f>'CB20'!$F$98</f>
        <v>0</v>
      </c>
      <c r="E76" s="492">
        <f>'CB20'!$H$98</f>
        <v>0</v>
      </c>
      <c r="F76" s="492">
        <f>'CB20'!$J$98</f>
        <v>0</v>
      </c>
    </row>
    <row r="77" spans="1:6">
      <c r="A77" s="11" t="str">
        <f>C1&amp;".e20.1306"</f>
        <v>Company Code.e20.1306</v>
      </c>
      <c r="B77" s="492">
        <f>'CB20'!$B$99</f>
        <v>0</v>
      </c>
      <c r="C77" s="492">
        <f>'CB20'!$D$99</f>
        <v>0</v>
      </c>
      <c r="D77" s="492">
        <f>'CB20'!$F$99</f>
        <v>0</v>
      </c>
      <c r="E77" s="492">
        <f>'CB20'!$H$99</f>
        <v>0</v>
      </c>
      <c r="F77" s="492">
        <f>'CB20'!$J$99</f>
        <v>0</v>
      </c>
    </row>
    <row r="78" spans="1:6">
      <c r="A78" s="11" t="str">
        <f>C1&amp;".e20.130601"</f>
        <v>Company Code.e20.130601</v>
      </c>
      <c r="B78" s="492">
        <f>'CB20'!$B$100</f>
        <v>0</v>
      </c>
      <c r="C78" s="492">
        <f>'CB20'!$D$100</f>
        <v>0</v>
      </c>
      <c r="D78" s="492">
        <f>'CB20'!$F$100</f>
        <v>0</v>
      </c>
      <c r="E78" s="802"/>
      <c r="F78" s="802"/>
    </row>
    <row r="79" spans="1:6">
      <c r="A79" s="11" t="str">
        <f>C1&amp;".e20.13060101"</f>
        <v>Company Code.e20.13060101</v>
      </c>
      <c r="B79" s="492">
        <f>'CB20'!$B$101</f>
        <v>0</v>
      </c>
      <c r="C79" s="492">
        <f>'CB20'!$D$101</f>
        <v>0</v>
      </c>
      <c r="D79" s="492">
        <f>'CB20'!$F$101</f>
        <v>0</v>
      </c>
      <c r="E79" s="802"/>
      <c r="F79" s="802"/>
    </row>
    <row r="80" spans="1:6">
      <c r="A80" s="11" t="str">
        <f>C1&amp;".e20.13060102"</f>
        <v>Company Code.e20.13060102</v>
      </c>
      <c r="B80" s="492">
        <f>'CB20'!$B$102</f>
        <v>0</v>
      </c>
      <c r="C80" s="492">
        <f>'CB20'!$D$102</f>
        <v>0</v>
      </c>
      <c r="D80" s="492">
        <f>'CB20'!$F$102</f>
        <v>0</v>
      </c>
      <c r="E80" s="802"/>
      <c r="F80" s="802"/>
    </row>
    <row r="81" spans="1:6">
      <c r="A81" s="11" t="str">
        <f>C1&amp;".e20.130602"</f>
        <v>Company Code.e20.130602</v>
      </c>
      <c r="B81" s="492">
        <f>'CB20'!$B$103</f>
        <v>0</v>
      </c>
      <c r="C81" s="492">
        <f>'CB20'!$D$103</f>
        <v>0</v>
      </c>
      <c r="D81" s="492">
        <f>'CB20'!$F$103</f>
        <v>0</v>
      </c>
      <c r="E81" s="492">
        <f>'CB20'!$H$103</f>
        <v>0</v>
      </c>
      <c r="F81" s="492">
        <f>'CB20'!$J$103</f>
        <v>0</v>
      </c>
    </row>
    <row r="82" spans="1:6">
      <c r="A82" s="11" t="str">
        <f>C1&amp;".e20.13060201"</f>
        <v>Company Code.e20.13060201</v>
      </c>
      <c r="B82" s="492">
        <f>'CB20'!$B$104</f>
        <v>0</v>
      </c>
      <c r="C82" s="492">
        <f>'CB20'!$D$104</f>
        <v>0</v>
      </c>
      <c r="D82" s="492">
        <f>'CB20'!$F$104</f>
        <v>0</v>
      </c>
      <c r="E82" s="492">
        <f>'CB20'!$H$104</f>
        <v>0</v>
      </c>
      <c r="F82" s="492">
        <f>'CB20'!$J$104</f>
        <v>0</v>
      </c>
    </row>
    <row r="83" spans="1:6">
      <c r="A83" s="11" t="str">
        <f>C1&amp;".e20.13060202"</f>
        <v>Company Code.e20.13060202</v>
      </c>
      <c r="B83" s="492">
        <f>'CB20'!$B$105</f>
        <v>0</v>
      </c>
      <c r="C83" s="492">
        <f>'CB20'!$D$105</f>
        <v>0</v>
      </c>
      <c r="D83" s="492">
        <f>'CB20'!$F$105</f>
        <v>0</v>
      </c>
      <c r="E83" s="492">
        <f>'CB20'!$H$105</f>
        <v>0</v>
      </c>
      <c r="F83" s="492">
        <f>'CB20'!$J$105</f>
        <v>0</v>
      </c>
    </row>
    <row r="84" spans="1:6">
      <c r="A84" s="11" t="str">
        <f>C1&amp;".e20.1307"</f>
        <v>Company Code.e20.1307</v>
      </c>
      <c r="B84" s="492">
        <f>'CB20'!$B$106</f>
        <v>0</v>
      </c>
      <c r="C84" s="492">
        <f>'CB20'!$D$106</f>
        <v>0</v>
      </c>
      <c r="D84" s="492">
        <f>'CB20'!$F$106</f>
        <v>0</v>
      </c>
      <c r="E84" s="492">
        <f>'CB20'!$H$106</f>
        <v>0</v>
      </c>
      <c r="F84" s="492">
        <f>'CB20'!$J$106</f>
        <v>0</v>
      </c>
    </row>
    <row r="85" spans="1:6">
      <c r="A85" s="11" t="str">
        <f>C1&amp;".e20.130701"</f>
        <v>Company Code.e20.130701</v>
      </c>
      <c r="B85" s="492">
        <f>'CB20'!$B$107</f>
        <v>0</v>
      </c>
      <c r="C85" s="492">
        <f>'CB20'!$D$107</f>
        <v>0</v>
      </c>
      <c r="D85" s="492">
        <f>'CB20'!$F$107</f>
        <v>0</v>
      </c>
      <c r="E85" s="492">
        <f>'CB20'!$H$107</f>
        <v>0</v>
      </c>
      <c r="F85" s="492">
        <f>'CB20'!$J$107</f>
        <v>0</v>
      </c>
    </row>
    <row r="86" spans="1:6">
      <c r="A86" s="11" t="str">
        <f>C1&amp;".e20.130702"</f>
        <v>Company Code.e20.130702</v>
      </c>
      <c r="B86" s="492">
        <f>'CB20'!$B$108</f>
        <v>0</v>
      </c>
      <c r="C86" s="492">
        <f>'CB20'!$D$108</f>
        <v>0</v>
      </c>
      <c r="D86" s="492">
        <f>'CB20'!$F$108</f>
        <v>0</v>
      </c>
      <c r="E86" s="492">
        <f>'CB20'!$H$108</f>
        <v>0</v>
      </c>
      <c r="F86" s="492">
        <f>'CB20'!$J$108</f>
        <v>0</v>
      </c>
    </row>
    <row r="87" spans="1:6">
      <c r="A87" s="11" t="str">
        <f>C1&amp;".e20.1308"</f>
        <v>Company Code.e20.1308</v>
      </c>
      <c r="B87" s="492">
        <f>'CB20'!$B$109</f>
        <v>0</v>
      </c>
      <c r="C87" s="492">
        <f>'CB20'!$D$109</f>
        <v>0</v>
      </c>
      <c r="D87" s="492">
        <f>'CB20'!$F$109</f>
        <v>0</v>
      </c>
      <c r="E87" s="492">
        <f>'CB20'!$H$109</f>
        <v>0</v>
      </c>
      <c r="F87" s="492">
        <f>'CB20'!$J$109</f>
        <v>0</v>
      </c>
    </row>
    <row r="88" spans="1:6">
      <c r="A88" s="11" t="str">
        <f>C1&amp;".e20.130801"</f>
        <v>Company Code.e20.130801</v>
      </c>
      <c r="B88" s="492">
        <f>'CB20'!$B$110</f>
        <v>0</v>
      </c>
      <c r="C88" s="492">
        <f>'CB20'!$D$110</f>
        <v>0</v>
      </c>
      <c r="D88" s="492">
        <f>'CB20'!$F$110</f>
        <v>0</v>
      </c>
      <c r="E88" s="492">
        <f>'CB20'!$H$110</f>
        <v>0</v>
      </c>
      <c r="F88" s="492">
        <f>'CB20'!$J$110</f>
        <v>0</v>
      </c>
    </row>
    <row r="89" spans="1:6">
      <c r="A89" s="11" t="str">
        <f>C1&amp;".e20.130802"</f>
        <v>Company Code.e20.130802</v>
      </c>
      <c r="B89" s="492">
        <f>'CB20'!$B$111</f>
        <v>0</v>
      </c>
      <c r="C89" s="492">
        <f>'CB20'!$D$111</f>
        <v>0</v>
      </c>
      <c r="D89" s="492">
        <f>'CB20'!$F$111</f>
        <v>0</v>
      </c>
      <c r="E89" s="492">
        <f>'CB20'!$H$111</f>
        <v>0</v>
      </c>
      <c r="F89" s="492">
        <f>'CB20'!$J$111</f>
        <v>0</v>
      </c>
    </row>
    <row r="90" spans="1:6">
      <c r="A90" s="11" t="str">
        <f>C1&amp;".e20.1309"</f>
        <v>Company Code.e20.1309</v>
      </c>
      <c r="B90" s="492">
        <f>'CB20'!$B$112</f>
        <v>0</v>
      </c>
      <c r="C90" s="492">
        <f>'CB20'!$D$112</f>
        <v>0</v>
      </c>
      <c r="D90" s="492">
        <f>'CB20'!$F$112</f>
        <v>0</v>
      </c>
      <c r="E90" s="492">
        <f>'CB20'!$H$112</f>
        <v>0</v>
      </c>
      <c r="F90" s="492">
        <f>'CB20'!$J$112</f>
        <v>0</v>
      </c>
    </row>
    <row r="91" spans="1:6">
      <c r="A91" s="11" t="str">
        <f>C1&amp;".e20.130901"</f>
        <v>Company Code.e20.130901</v>
      </c>
      <c r="B91" s="492">
        <f>'CB20'!$B$113</f>
        <v>0</v>
      </c>
      <c r="C91" s="492">
        <f>'CB20'!$D$113</f>
        <v>0</v>
      </c>
      <c r="D91" s="492">
        <f>'CB20'!$F$113</f>
        <v>0</v>
      </c>
      <c r="E91" s="492">
        <f>'CB20'!$H$113</f>
        <v>0</v>
      </c>
      <c r="F91" s="492">
        <f>'CB20'!$J$113</f>
        <v>0</v>
      </c>
    </row>
    <row r="92" spans="1:6">
      <c r="A92" s="11" t="str">
        <f>C1&amp;".e20.130902"</f>
        <v>Company Code.e20.130902</v>
      </c>
      <c r="B92" s="492">
        <f>'CB20'!$B$114</f>
        <v>0</v>
      </c>
      <c r="C92" s="492">
        <f>'CB20'!$D$114</f>
        <v>0</v>
      </c>
      <c r="D92" s="492">
        <f>'CB20'!$F$114</f>
        <v>0</v>
      </c>
      <c r="E92" s="492">
        <f>'CB20'!$H$114</f>
        <v>0</v>
      </c>
      <c r="F92" s="492">
        <f>'CB20'!$J$114</f>
        <v>0</v>
      </c>
    </row>
    <row r="93" spans="1:6">
      <c r="A93" s="11" t="str">
        <f>C1&amp;".e20.13090201"</f>
        <v>Company Code.e20.13090201</v>
      </c>
      <c r="B93" s="492">
        <f>'CB20'!$B$115</f>
        <v>0</v>
      </c>
      <c r="C93" s="492">
        <f>'CB20'!$D$115</f>
        <v>0</v>
      </c>
      <c r="D93" s="492">
        <f>'CB20'!$F$115</f>
        <v>0</v>
      </c>
      <c r="E93" s="802"/>
      <c r="F93" s="802"/>
    </row>
    <row r="94" spans="1:6">
      <c r="A94" s="11" t="str">
        <f>C1&amp;".e20.13090202"</f>
        <v>Company Code.e20.13090202</v>
      </c>
      <c r="B94" s="492">
        <f>'CB20'!$B$116</f>
        <v>0</v>
      </c>
      <c r="C94" s="492">
        <f>'CB20'!$D$116</f>
        <v>0</v>
      </c>
      <c r="D94" s="492">
        <f>'CB20'!$F$116</f>
        <v>0</v>
      </c>
      <c r="E94" s="492">
        <f>'CB20'!$H$116</f>
        <v>0</v>
      </c>
      <c r="F94" s="492">
        <f>'CB20'!$J$116</f>
        <v>0</v>
      </c>
    </row>
    <row r="95" spans="1:6">
      <c r="A95" s="11" t="str">
        <f>C1&amp;".e20.130903"</f>
        <v>Company Code.e20.130903</v>
      </c>
      <c r="B95" s="492">
        <f>'CB20'!$B$117</f>
        <v>0</v>
      </c>
      <c r="C95" s="492">
        <f>'CB20'!$D$117</f>
        <v>0</v>
      </c>
      <c r="D95" s="492">
        <f>'CB20'!$F$117</f>
        <v>0</v>
      </c>
      <c r="E95" s="492">
        <f>'CB20'!$H$117</f>
        <v>0</v>
      </c>
      <c r="F95" s="492">
        <f>'CB20'!$J$117</f>
        <v>0</v>
      </c>
    </row>
    <row r="96" spans="1:6">
      <c r="A96" s="11" t="str">
        <f>C1&amp;".e20.1310"</f>
        <v>Company Code.e20.1310</v>
      </c>
      <c r="B96" s="492">
        <f>'CB20'!$B$118</f>
        <v>0</v>
      </c>
      <c r="C96" s="492">
        <f>'CB20'!$D$118</f>
        <v>0</v>
      </c>
      <c r="D96" s="492">
        <f>'CB20'!$F$118</f>
        <v>0</v>
      </c>
      <c r="E96" s="492">
        <f>'CB20'!$H$118</f>
        <v>0</v>
      </c>
      <c r="F96" s="492">
        <f>'CB20'!$J$118</f>
        <v>0</v>
      </c>
    </row>
    <row r="97" spans="1:6">
      <c r="A97" s="11" t="str">
        <f>C1&amp;".e20.1311"</f>
        <v>Company Code.e20.1311</v>
      </c>
      <c r="B97" s="492">
        <f>'CB20'!$B$119</f>
        <v>0</v>
      </c>
      <c r="C97" s="492">
        <f>'CB20'!$D$119</f>
        <v>0</v>
      </c>
      <c r="D97" s="492">
        <f>'CB20'!$F$119</f>
        <v>0</v>
      </c>
      <c r="E97" s="492">
        <f>'CB20'!$H$119</f>
        <v>0</v>
      </c>
      <c r="F97" s="492">
        <f>'CB20'!$J$119</f>
        <v>0</v>
      </c>
    </row>
    <row r="98" spans="1:6">
      <c r="A98" s="11" t="str">
        <f>C1&amp;".e20.131101"</f>
        <v>Company Code.e20.131101</v>
      </c>
      <c r="B98" s="492">
        <f>'CB20'!$B$120</f>
        <v>0</v>
      </c>
      <c r="C98" s="492">
        <f>'CB20'!$D$120</f>
        <v>0</v>
      </c>
      <c r="D98" s="492">
        <f>'CB20'!$F$120</f>
        <v>0</v>
      </c>
      <c r="E98" s="492">
        <f>'CB20'!$H$120</f>
        <v>0</v>
      </c>
      <c r="F98" s="492">
        <f>'CB20'!$J$120</f>
        <v>0</v>
      </c>
    </row>
    <row r="99" spans="1:6">
      <c r="A99" s="11" t="str">
        <f>C1&amp;".e20.13110101"</f>
        <v>Company Code.e20.13110101</v>
      </c>
      <c r="B99" s="492">
        <f>'CB20'!$B$121</f>
        <v>0</v>
      </c>
      <c r="C99" s="492">
        <f>'CB20'!$D$121</f>
        <v>0</v>
      </c>
      <c r="D99" s="492">
        <f>'CB20'!$F$121</f>
        <v>0</v>
      </c>
      <c r="E99" s="802"/>
      <c r="F99" s="802"/>
    </row>
    <row r="100" spans="1:6">
      <c r="A100" s="11" t="str">
        <f>C1&amp;".e20.13110102"</f>
        <v>Company Code.e20.13110102</v>
      </c>
      <c r="B100" s="492">
        <f>'CB20'!$B$122</f>
        <v>0</v>
      </c>
      <c r="C100" s="492">
        <f>'CB20'!$D$122</f>
        <v>0</v>
      </c>
      <c r="D100" s="492">
        <f>'CB20'!$F$122</f>
        <v>0</v>
      </c>
      <c r="E100" s="492">
        <f>'CB20'!$H$122</f>
        <v>0</v>
      </c>
      <c r="F100" s="492">
        <f>'CB20'!$J$122</f>
        <v>0</v>
      </c>
    </row>
    <row r="101" spans="1:6">
      <c r="A101" s="11" t="str">
        <f>C1&amp;".e20.13110103"</f>
        <v>Company Code.e20.13110103</v>
      </c>
      <c r="B101" s="492">
        <f>'CB20'!$B$123</f>
        <v>0</v>
      </c>
      <c r="C101" s="492">
        <f>'CB20'!$D$123</f>
        <v>0</v>
      </c>
      <c r="D101" s="492">
        <f>'CB20'!$F$123</f>
        <v>0</v>
      </c>
      <c r="E101" s="802"/>
      <c r="F101" s="802"/>
    </row>
    <row r="102" spans="1:6">
      <c r="A102" s="11" t="str">
        <f>C1&amp;".e20.13110104"</f>
        <v>Company Code.e20.13110104</v>
      </c>
      <c r="B102" s="492">
        <f>'CB20'!$B$124</f>
        <v>0</v>
      </c>
      <c r="C102" s="492">
        <f>'CB20'!$D$124</f>
        <v>0</v>
      </c>
      <c r="D102" s="492">
        <f>'CB20'!$F$124</f>
        <v>0</v>
      </c>
      <c r="E102" s="492">
        <f>'CB20'!$H$124</f>
        <v>0</v>
      </c>
      <c r="F102" s="492">
        <f>'CB20'!$J$124</f>
        <v>0</v>
      </c>
    </row>
    <row r="103" spans="1:6">
      <c r="A103" s="11" t="str">
        <f>C1&amp;".e20.131102"</f>
        <v>Company Code.e20.131102</v>
      </c>
      <c r="B103" s="492">
        <f>'CB20'!$B$125</f>
        <v>0</v>
      </c>
      <c r="C103" s="492">
        <f>'CB20'!$D$125</f>
        <v>0</v>
      </c>
      <c r="D103" s="492">
        <f>'CB20'!$F$125</f>
        <v>0</v>
      </c>
      <c r="E103" s="492">
        <f>'CB20'!$H$125</f>
        <v>0</v>
      </c>
      <c r="F103" s="492">
        <f>'CB20'!$J$125</f>
        <v>0</v>
      </c>
    </row>
    <row r="104" spans="1:6">
      <c r="A104" s="11" t="str">
        <f>C1&amp;".e20.13110201"</f>
        <v>Company Code.e20.13110201</v>
      </c>
      <c r="B104" s="492">
        <f>'CB20'!$B$126</f>
        <v>0</v>
      </c>
      <c r="C104" s="492">
        <f>'CB20'!$D$126</f>
        <v>0</v>
      </c>
      <c r="D104" s="492">
        <f>'CB20'!$F$126</f>
        <v>0</v>
      </c>
      <c r="E104" s="492">
        <f>'CB20'!$H$126</f>
        <v>0</v>
      </c>
      <c r="F104" s="492">
        <f>'CB20'!$J$126</f>
        <v>0</v>
      </c>
    </row>
    <row r="105" spans="1:6">
      <c r="A105" s="11" t="str">
        <f>C1&amp;".e20.13110202"</f>
        <v>Company Code.e20.13110202</v>
      </c>
      <c r="B105" s="492">
        <f>'CB20'!$B$127</f>
        <v>0</v>
      </c>
      <c r="C105" s="492">
        <f>'CB20'!$D$127</f>
        <v>0</v>
      </c>
      <c r="D105" s="492">
        <f>'CB20'!$F$127</f>
        <v>0</v>
      </c>
      <c r="E105" s="492">
        <f>'CB20'!$H$127</f>
        <v>0</v>
      </c>
      <c r="F105" s="492">
        <f>'CB20'!$J$127</f>
        <v>0</v>
      </c>
    </row>
    <row r="106" spans="1:6">
      <c r="A106" s="11" t="str">
        <f>C1&amp;".e20.131103"</f>
        <v>Company Code.e20.131103</v>
      </c>
      <c r="B106" s="492">
        <f>'CB20'!$B$128</f>
        <v>0</v>
      </c>
      <c r="C106" s="492">
        <f>'CB20'!$D$128</f>
        <v>0</v>
      </c>
      <c r="D106" s="492">
        <f>'CB20'!$F$128</f>
        <v>0</v>
      </c>
      <c r="E106" s="492">
        <f>'CB20'!$H$128</f>
        <v>0</v>
      </c>
      <c r="F106" s="492">
        <f>'CB20'!$J$128</f>
        <v>0</v>
      </c>
    </row>
    <row r="107" spans="1:6">
      <c r="A107" s="11" t="str">
        <f>C1&amp;".e20.13110301"</f>
        <v>Company Code.e20.13110301</v>
      </c>
      <c r="B107" s="492">
        <f>'CB20'!$B$129</f>
        <v>0</v>
      </c>
      <c r="C107" s="492">
        <f>'CB20'!$D$129</f>
        <v>0</v>
      </c>
      <c r="D107" s="492">
        <f>'CB20'!$F$129</f>
        <v>0</v>
      </c>
      <c r="E107" s="492">
        <f>'CB20'!$H$129</f>
        <v>0</v>
      </c>
      <c r="F107" s="492">
        <f>'CB20'!$J$129</f>
        <v>0</v>
      </c>
    </row>
    <row r="108" spans="1:6">
      <c r="A108" s="11" t="str">
        <f>C1&amp;".e20.13110302"</f>
        <v>Company Code.e20.13110302</v>
      </c>
      <c r="B108" s="492">
        <f>'CB20'!$B$130</f>
        <v>0</v>
      </c>
      <c r="C108" s="492">
        <f>'CB20'!$D$130</f>
        <v>0</v>
      </c>
      <c r="D108" s="492">
        <f>'CB20'!$F$130</f>
        <v>0</v>
      </c>
      <c r="E108" s="492">
        <f>'CB20'!$H$130</f>
        <v>0</v>
      </c>
      <c r="F108" s="492">
        <f>'CB20'!$J$130</f>
        <v>0</v>
      </c>
    </row>
    <row r="109" spans="1:6">
      <c r="A109" s="11" t="str">
        <f>C1&amp;".e20.131104"</f>
        <v>Company Code.e20.131104</v>
      </c>
      <c r="B109" s="492">
        <f>'CB20'!$B$131</f>
        <v>0</v>
      </c>
      <c r="C109" s="492">
        <f>'CB20'!$D$131</f>
        <v>0</v>
      </c>
      <c r="D109" s="492">
        <f>'CB20'!$F$131</f>
        <v>0</v>
      </c>
      <c r="E109" s="492">
        <f>'CB20'!$H$131</f>
        <v>0</v>
      </c>
      <c r="F109" s="492">
        <f>'CB20'!$J$131</f>
        <v>0</v>
      </c>
    </row>
    <row r="110" spans="1:6">
      <c r="A110" s="11" t="str">
        <f>C1&amp;".e20.13110401"</f>
        <v>Company Code.e20.13110401</v>
      </c>
      <c r="B110" s="492">
        <f>'CB20'!$B$132</f>
        <v>0</v>
      </c>
      <c r="C110" s="492">
        <f>'CB20'!$D$132</f>
        <v>0</v>
      </c>
      <c r="D110" s="492">
        <f>'CB20'!$F$132</f>
        <v>0</v>
      </c>
      <c r="E110" s="492">
        <f>'CB20'!$H$132</f>
        <v>0</v>
      </c>
      <c r="F110" s="492">
        <f>'CB20'!$J$132</f>
        <v>0</v>
      </c>
    </row>
    <row r="111" spans="1:6">
      <c r="A111" s="11" t="str">
        <f>C1&amp;".e20.13110402"</f>
        <v>Company Code.e20.13110402</v>
      </c>
      <c r="B111" s="492">
        <f>'CB20'!$B$133</f>
        <v>0</v>
      </c>
      <c r="C111" s="492">
        <f>'CB20'!$D$133</f>
        <v>0</v>
      </c>
      <c r="D111" s="492">
        <f>'CB20'!$F$133</f>
        <v>0</v>
      </c>
      <c r="E111" s="492">
        <f>'CB20'!$H$133</f>
        <v>0</v>
      </c>
      <c r="F111" s="492">
        <f>'CB20'!$J$133</f>
        <v>0</v>
      </c>
    </row>
    <row r="112" spans="1:6">
      <c r="A112" s="11" t="str">
        <f>C1&amp;".e20.13_gross"</f>
        <v>Company Code.e20.13_gross</v>
      </c>
      <c r="B112" s="492">
        <f>'CB20'!$B$135</f>
        <v>0</v>
      </c>
      <c r="C112" s="492">
        <f>'CB20'!$D$135</f>
        <v>0</v>
      </c>
      <c r="D112" s="492">
        <f>'CB20'!$F$135</f>
        <v>0</v>
      </c>
      <c r="E112" s="492">
        <f>'CB20'!$H$135</f>
        <v>0</v>
      </c>
      <c r="F112" s="492">
        <f>'CB20'!$J$135</f>
        <v>0</v>
      </c>
    </row>
    <row r="113" spans="1:6">
      <c r="A113" s="11" t="str">
        <f>C1&amp;".e20.1312"</f>
        <v>Company Code.e20.1312</v>
      </c>
      <c r="B113" s="492">
        <f>'CB20'!$B$137</f>
        <v>0</v>
      </c>
      <c r="C113" s="492">
        <f>'CB20'!$D$137</f>
        <v>0</v>
      </c>
      <c r="D113" s="492">
        <f>'CB20'!$F$137</f>
        <v>0</v>
      </c>
      <c r="E113" s="492">
        <f>'CB20'!$H$137</f>
        <v>0</v>
      </c>
      <c r="F113" s="492">
        <f>'CB20'!$J$137</f>
        <v>0</v>
      </c>
    </row>
    <row r="114" spans="1:6">
      <c r="A114" s="11" t="str">
        <f>C1&amp;".e20.131201"</f>
        <v>Company Code.e20.131201</v>
      </c>
      <c r="B114" s="492">
        <f>'CB20'!$B$138</f>
        <v>0</v>
      </c>
      <c r="C114" s="492">
        <f>'CB20'!$D$138</f>
        <v>0</v>
      </c>
      <c r="D114" s="492">
        <f>'CB20'!$F$138</f>
        <v>0</v>
      </c>
      <c r="E114" s="492">
        <f>'CB20'!$H$138</f>
        <v>0</v>
      </c>
      <c r="F114" s="492">
        <f>'CB20'!$J$138</f>
        <v>0</v>
      </c>
    </row>
    <row r="115" spans="1:6">
      <c r="A115" s="11" t="str">
        <f>C1&amp;".e20.131202"</f>
        <v>Company Code.e20.131202</v>
      </c>
      <c r="B115" s="492">
        <f>'CB20'!$B$139</f>
        <v>0</v>
      </c>
      <c r="C115" s="492">
        <f>'CB20'!$D$139</f>
        <v>0</v>
      </c>
      <c r="D115" s="492">
        <f>'CB20'!$F$139</f>
        <v>0</v>
      </c>
      <c r="E115" s="492">
        <f>'CB20'!$H$139</f>
        <v>0</v>
      </c>
      <c r="F115" s="492">
        <f>'CB20'!$J$139</f>
        <v>0</v>
      </c>
    </row>
    <row r="116" spans="1:6">
      <c r="A116" s="11" t="str">
        <f>C1&amp;".e20.13"</f>
        <v>Company Code.e20.13</v>
      </c>
      <c r="B116" s="492">
        <f>'CB20'!$B$141</f>
        <v>0</v>
      </c>
      <c r="C116" s="492">
        <f>'CB20'!$D$141</f>
        <v>0</v>
      </c>
      <c r="D116" s="492">
        <f>'CB20'!$F$141</f>
        <v>0</v>
      </c>
      <c r="E116" s="492">
        <f>'CB20'!$H$141</f>
        <v>0</v>
      </c>
      <c r="F116" s="492">
        <f>'CB20'!$J$141</f>
        <v>0</v>
      </c>
    </row>
    <row r="117" spans="1:6">
      <c r="A117" s="11" t="str">
        <f>C1&amp;".e20.140302"</f>
        <v>Company Code.e20.140302</v>
      </c>
      <c r="B117" s="492">
        <f>'CB20'!$B$146</f>
        <v>0</v>
      </c>
      <c r="C117" s="492">
        <f>'CB20'!$D$146</f>
        <v>0</v>
      </c>
      <c r="D117" s="492">
        <f>'CB20'!$F$146</f>
        <v>0</v>
      </c>
      <c r="E117" s="492">
        <f>'CB20'!$H$146</f>
        <v>0</v>
      </c>
      <c r="F117" s="492">
        <f>'CB20'!$J$146</f>
        <v>0</v>
      </c>
    </row>
    <row r="118" spans="1:6">
      <c r="A118" s="11" t="str">
        <f>C1&amp;".e20.14030201"</f>
        <v>Company Code.e20.14030201</v>
      </c>
      <c r="B118" s="492">
        <f>'CB20'!$B$147</f>
        <v>0</v>
      </c>
      <c r="C118" s="492">
        <f>'CB20'!$D$147</f>
        <v>0</v>
      </c>
      <c r="D118" s="492">
        <f>'CB20'!$F$147</f>
        <v>0</v>
      </c>
      <c r="E118" s="492">
        <f>'CB20'!$H$147</f>
        <v>0</v>
      </c>
      <c r="F118" s="492">
        <f>'CB20'!$J$147</f>
        <v>0</v>
      </c>
    </row>
    <row r="119" spans="1:6">
      <c r="A119" s="11" t="str">
        <f>C1&amp;".e20.14030202"</f>
        <v>Company Code.e20.14030202</v>
      </c>
      <c r="B119" s="492">
        <f>'CB20'!$B$148</f>
        <v>0</v>
      </c>
      <c r="C119" s="492">
        <f>'CB20'!$D$148</f>
        <v>0</v>
      </c>
      <c r="D119" s="492">
        <f>'CB20'!$F$148</f>
        <v>0</v>
      </c>
      <c r="E119" s="492">
        <f>'CB20'!$H$148</f>
        <v>0</v>
      </c>
      <c r="F119" s="492">
        <f>'CB20'!$J$148</f>
        <v>0</v>
      </c>
    </row>
    <row r="120" spans="1:6">
      <c r="A120" s="11" t="str">
        <f>C1&amp;".e20.14030203"</f>
        <v>Company Code.e20.14030203</v>
      </c>
      <c r="B120" s="492">
        <f>'CB20'!$B$149</f>
        <v>0</v>
      </c>
      <c r="C120" s="492">
        <f>'CB20'!$D$149</f>
        <v>0</v>
      </c>
      <c r="D120" s="492">
        <f>'CB20'!$F$149</f>
        <v>0</v>
      </c>
      <c r="E120" s="492">
        <f>'CB20'!$H$149</f>
        <v>0</v>
      </c>
      <c r="F120" s="492">
        <f>'CB20'!$J$149</f>
        <v>0</v>
      </c>
    </row>
    <row r="121" spans="1:6">
      <c r="A121" s="11" t="str">
        <f>C1&amp;".e20.14030204"</f>
        <v>Company Code.e20.14030204</v>
      </c>
      <c r="B121" s="492">
        <f>'CB20'!$B$150</f>
        <v>0</v>
      </c>
      <c r="C121" s="492">
        <f>'CB20'!$D$150</f>
        <v>0</v>
      </c>
      <c r="D121" s="492">
        <f>'CB20'!$F$150</f>
        <v>0</v>
      </c>
      <c r="E121" s="492">
        <f>'CB20'!$H$150</f>
        <v>0</v>
      </c>
      <c r="F121" s="492">
        <f>'CB20'!$J$150</f>
        <v>0</v>
      </c>
    </row>
    <row r="122" spans="1:6">
      <c r="A122" s="11" t="str">
        <f>C1&amp;".e20.1403020401"</f>
        <v>Company Code.e20.1403020401</v>
      </c>
      <c r="B122" s="492">
        <f>'CB20'!$B$151</f>
        <v>0</v>
      </c>
      <c r="C122" s="492">
        <f>'CB20'!$D$151</f>
        <v>0</v>
      </c>
      <c r="D122" s="492">
        <f>'CB20'!$F$151</f>
        <v>0</v>
      </c>
      <c r="E122" s="492">
        <f>'CB20'!$H$151</f>
        <v>0</v>
      </c>
      <c r="F122" s="492">
        <f>'CB20'!$J$151</f>
        <v>0</v>
      </c>
    </row>
    <row r="123" spans="1:6">
      <c r="A123" s="11" t="str">
        <f>C1&amp;".e20.1403020402"</f>
        <v>Company Code.e20.1403020402</v>
      </c>
      <c r="B123" s="492">
        <f>'CB20'!$B$152</f>
        <v>0</v>
      </c>
      <c r="C123" s="492">
        <f>'CB20'!$D$152</f>
        <v>0</v>
      </c>
      <c r="D123" s="492">
        <f>'CB20'!$F$152</f>
        <v>0</v>
      </c>
      <c r="E123" s="492">
        <f>'CB20'!$H$152</f>
        <v>0</v>
      </c>
      <c r="F123" s="492">
        <f>'CB20'!$J$152</f>
        <v>0</v>
      </c>
    </row>
    <row r="124" spans="1:6">
      <c r="A124" s="11" t="str">
        <f>C1&amp;".e20.1403020403"</f>
        <v>Company Code.e20.1403020403</v>
      </c>
      <c r="B124" s="492">
        <f>'CB20'!$B$153</f>
        <v>0</v>
      </c>
      <c r="C124" s="492">
        <f>'CB20'!$D$153</f>
        <v>0</v>
      </c>
      <c r="D124" s="492">
        <f>'CB20'!$F$153</f>
        <v>0</v>
      </c>
      <c r="E124" s="492">
        <f>'CB20'!$H$153</f>
        <v>0</v>
      </c>
      <c r="F124" s="492">
        <f>'CB20'!$J$153</f>
        <v>0</v>
      </c>
    </row>
    <row r="125" spans="1:6">
      <c r="A125" s="11" t="str">
        <f>C1&amp;".e20.14030205"</f>
        <v>Company Code.e20.14030205</v>
      </c>
      <c r="B125" s="492">
        <f>'CB20'!$B$154</f>
        <v>0</v>
      </c>
      <c r="C125" s="492">
        <f>'CB20'!$D$154</f>
        <v>0</v>
      </c>
      <c r="D125" s="492">
        <f>'CB20'!$F$154</f>
        <v>0</v>
      </c>
      <c r="E125" s="492">
        <f>'CB20'!$H$154</f>
        <v>0</v>
      </c>
      <c r="F125" s="492">
        <f>'CB20'!$J$154</f>
        <v>0</v>
      </c>
    </row>
    <row r="126" spans="1:6">
      <c r="A126" s="11" t="str">
        <f>C1&amp;".e20.14030206"</f>
        <v>Company Code.e20.14030206</v>
      </c>
      <c r="B126" s="492">
        <f>'CB20'!$B$155</f>
        <v>0</v>
      </c>
      <c r="C126" s="492">
        <f>'CB20'!$D$155</f>
        <v>0</v>
      </c>
      <c r="D126" s="492">
        <f>'CB20'!$F$155</f>
        <v>0</v>
      </c>
      <c r="E126" s="492">
        <f>'CB20'!$H$155</f>
        <v>0</v>
      </c>
      <c r="F126" s="492">
        <f>'CB20'!$J$155</f>
        <v>0</v>
      </c>
    </row>
    <row r="127" spans="1:6">
      <c r="A127" s="11" t="str">
        <f>C1&amp;".e20.14030207"</f>
        <v>Company Code.e20.14030207</v>
      </c>
      <c r="B127" s="492">
        <f>'CB20'!$B$156</f>
        <v>0</v>
      </c>
      <c r="C127" s="492">
        <f>'CB20'!$D$156</f>
        <v>0</v>
      </c>
      <c r="D127" s="492">
        <f>'CB20'!$F$156</f>
        <v>0</v>
      </c>
      <c r="E127" s="492">
        <f>'CB20'!$H$156</f>
        <v>0</v>
      </c>
      <c r="F127" s="492">
        <f>'CB20'!$J$156</f>
        <v>0</v>
      </c>
    </row>
    <row r="128" spans="1:6">
      <c r="A128" s="11" t="str">
        <f>C1&amp;".e20.1403020701"</f>
        <v>Company Code.e20.1403020701</v>
      </c>
      <c r="B128" s="492">
        <f>'CB20'!$B$157</f>
        <v>0</v>
      </c>
      <c r="C128" s="492">
        <f>'CB20'!$D$157</f>
        <v>0</v>
      </c>
      <c r="D128" s="492">
        <f>'CB20'!$F$157</f>
        <v>0</v>
      </c>
      <c r="E128" s="492">
        <f>'CB20'!$H$157</f>
        <v>0</v>
      </c>
      <c r="F128" s="492">
        <f>'CB20'!$J$157</f>
        <v>0</v>
      </c>
    </row>
    <row r="129" spans="1:6">
      <c r="A129" s="11" t="str">
        <f>C1&amp;".e20.1403020702"</f>
        <v>Company Code.e20.1403020702</v>
      </c>
      <c r="B129" s="492">
        <f>'CB20'!$B$158</f>
        <v>0</v>
      </c>
      <c r="C129" s="492">
        <f>'CB20'!$D$158</f>
        <v>0</v>
      </c>
      <c r="D129" s="492">
        <f>'CB20'!$F$158</f>
        <v>0</v>
      </c>
      <c r="E129" s="492">
        <f>'CB20'!$H$158</f>
        <v>0</v>
      </c>
      <c r="F129" s="492">
        <f>'CB20'!$J$158</f>
        <v>0</v>
      </c>
    </row>
    <row r="130" spans="1:6">
      <c r="A130" s="11" t="str">
        <f>C1&amp;".e20.14030208"</f>
        <v>Company Code.e20.14030208</v>
      </c>
      <c r="B130" s="492">
        <f>'CB20'!$B$159</f>
        <v>0</v>
      </c>
      <c r="C130" s="492">
        <f>'CB20'!$D$159</f>
        <v>0</v>
      </c>
      <c r="D130" s="492">
        <f>'CB20'!$F$159</f>
        <v>0</v>
      </c>
      <c r="E130" s="492">
        <f>'CB20'!$H$159</f>
        <v>0</v>
      </c>
      <c r="F130" s="492">
        <f>'CB20'!$J$159</f>
        <v>0</v>
      </c>
    </row>
    <row r="131" spans="1:6">
      <c r="A131" s="11" t="str">
        <f>C1&amp;".e20.1405"</f>
        <v>Company Code.e20.1405</v>
      </c>
      <c r="B131" s="492">
        <f>'CB20'!$B$160</f>
        <v>0</v>
      </c>
      <c r="C131" s="492">
        <f>'CB20'!$D$160</f>
        <v>0</v>
      </c>
      <c r="D131" s="492">
        <f>'CB20'!$F$160</f>
        <v>0</v>
      </c>
      <c r="E131" s="492">
        <f>'CB20'!$H$160</f>
        <v>0</v>
      </c>
      <c r="F131" s="492">
        <f>'CB20'!$J$160</f>
        <v>0</v>
      </c>
    </row>
    <row r="132" spans="1:6">
      <c r="A132" s="11" t="str">
        <f>C1&amp;".e20.140501"</f>
        <v>Company Code.e20.140501</v>
      </c>
      <c r="B132" s="492">
        <f>'CB20'!$B$161</f>
        <v>0</v>
      </c>
      <c r="C132" s="492">
        <f>'CB20'!$D$161</f>
        <v>0</v>
      </c>
      <c r="D132" s="492">
        <f>'CB20'!$F$161</f>
        <v>0</v>
      </c>
      <c r="E132" s="492">
        <f>'CB20'!$H$161</f>
        <v>0</v>
      </c>
      <c r="F132" s="492">
        <f>'CB20'!$J$161</f>
        <v>0</v>
      </c>
    </row>
    <row r="133" spans="1:6">
      <c r="A133" s="11" t="str">
        <f>C1&amp;".e20.140502"</f>
        <v>Company Code.e20.140502</v>
      </c>
      <c r="B133" s="492">
        <f>'CB20'!$B$162</f>
        <v>0</v>
      </c>
      <c r="C133" s="492">
        <f>'CB20'!$D$162</f>
        <v>0</v>
      </c>
      <c r="D133" s="492">
        <f>'CB20'!$F$162</f>
        <v>0</v>
      </c>
      <c r="E133" s="492">
        <f>'CB20'!$H$162</f>
        <v>0</v>
      </c>
      <c r="F133" s="492">
        <f>'CB20'!$J$162</f>
        <v>0</v>
      </c>
    </row>
    <row r="134" spans="1:6">
      <c r="A134" s="11" t="str">
        <f>C1&amp;".e20.140503"</f>
        <v>Company Code.e20.140503</v>
      </c>
      <c r="B134" s="492">
        <f>'CB20'!$B$163</f>
        <v>0</v>
      </c>
      <c r="C134" s="492">
        <f>'CB20'!$D$163</f>
        <v>0</v>
      </c>
      <c r="D134" s="492">
        <f>'CB20'!$F$163</f>
        <v>0</v>
      </c>
      <c r="E134" s="492">
        <f>'CB20'!$H$163</f>
        <v>0</v>
      </c>
      <c r="F134" s="492">
        <f>'CB20'!$J$163</f>
        <v>0</v>
      </c>
    </row>
    <row r="135" spans="1:6">
      <c r="A135" s="11" t="str">
        <f>C1&amp;".e20.140504"</f>
        <v>Company Code.e20.140504</v>
      </c>
      <c r="B135" s="492">
        <f>'CB20'!$B$164</f>
        <v>0</v>
      </c>
      <c r="C135" s="492">
        <f>'CB20'!$D$164</f>
        <v>0</v>
      </c>
      <c r="D135" s="492">
        <f>'CB20'!$F$164</f>
        <v>0</v>
      </c>
      <c r="E135" s="492">
        <f>'CB20'!$H$164</f>
        <v>0</v>
      </c>
      <c r="F135" s="492">
        <f>'CB20'!$J$164</f>
        <v>0</v>
      </c>
    </row>
    <row r="136" spans="1:6">
      <c r="A136" s="11" t="str">
        <f>C1&amp;".e20.14050401"</f>
        <v>Company Code.e20.14050401</v>
      </c>
      <c r="B136" s="492">
        <f>'CB20'!$B$165</f>
        <v>0</v>
      </c>
      <c r="C136" s="492">
        <f>'CB20'!$D$165</f>
        <v>0</v>
      </c>
      <c r="D136" s="492">
        <f>'CB20'!$F$165</f>
        <v>0</v>
      </c>
      <c r="E136" s="492">
        <f>'CB20'!$H$165</f>
        <v>0</v>
      </c>
      <c r="F136" s="492">
        <f>'CB20'!$J$165</f>
        <v>0</v>
      </c>
    </row>
    <row r="137" spans="1:6">
      <c r="A137" s="11" t="str">
        <f>C1&amp;".e20.14050402"</f>
        <v>Company Code.e20.14050402</v>
      </c>
      <c r="B137" s="492">
        <f>'CB20'!$B$166</f>
        <v>0</v>
      </c>
      <c r="C137" s="492">
        <f>'CB20'!$D$166</f>
        <v>0</v>
      </c>
      <c r="D137" s="492">
        <f>'CB20'!$F$166</f>
        <v>0</v>
      </c>
      <c r="E137" s="492">
        <f>'CB20'!$H$166</f>
        <v>0</v>
      </c>
      <c r="F137" s="492">
        <f>'CB20'!$J$166</f>
        <v>0</v>
      </c>
    </row>
    <row r="138" spans="1:6">
      <c r="A138" s="11" t="str">
        <f>C1&amp;".e20.14050403"</f>
        <v>Company Code.e20.14050403</v>
      </c>
      <c r="B138" s="492">
        <f>'CB20'!$B$167</f>
        <v>0</v>
      </c>
      <c r="C138" s="492">
        <f>'CB20'!$D$167</f>
        <v>0</v>
      </c>
      <c r="D138" s="492">
        <f>'CB20'!$F$167</f>
        <v>0</v>
      </c>
      <c r="E138" s="492">
        <f>'CB20'!$H$167</f>
        <v>0</v>
      </c>
      <c r="F138" s="492">
        <f>'CB20'!$J$167</f>
        <v>0</v>
      </c>
    </row>
    <row r="139" spans="1:6">
      <c r="A139" s="11" t="str">
        <f>C1&amp;".e20.140505"</f>
        <v>Company Code.e20.140505</v>
      </c>
      <c r="B139" s="492">
        <f>'CB20'!$B$168</f>
        <v>0</v>
      </c>
      <c r="C139" s="492">
        <f>'CB20'!$D$168</f>
        <v>0</v>
      </c>
      <c r="D139" s="492">
        <f>'CB20'!$F$168</f>
        <v>0</v>
      </c>
      <c r="E139" s="492">
        <f>'CB20'!$H$168</f>
        <v>0</v>
      </c>
      <c r="F139" s="492">
        <f>'CB20'!$J$168</f>
        <v>0</v>
      </c>
    </row>
    <row r="140" spans="1:6">
      <c r="A140" s="11" t="str">
        <f>C1&amp;".e20.140506"</f>
        <v>Company Code.e20.140506</v>
      </c>
      <c r="B140" s="492">
        <f>'CB20'!$B$169</f>
        <v>0</v>
      </c>
      <c r="C140" s="492">
        <f>'CB20'!$D$169</f>
        <v>0</v>
      </c>
      <c r="D140" s="492">
        <f>'CB20'!$F$169</f>
        <v>0</v>
      </c>
      <c r="E140" s="492">
        <f>'CB20'!$H$169</f>
        <v>0</v>
      </c>
      <c r="F140" s="492">
        <f>'CB20'!$J$169</f>
        <v>0</v>
      </c>
    </row>
    <row r="141" spans="1:6">
      <c r="A141" s="11" t="str">
        <f>C1&amp;".e20.140507"</f>
        <v>Company Code.e20.140507</v>
      </c>
      <c r="B141" s="492">
        <f>'CB20'!$B$170</f>
        <v>0</v>
      </c>
      <c r="C141" s="492">
        <f>'CB20'!$D$170</f>
        <v>0</v>
      </c>
      <c r="D141" s="492">
        <f>'CB20'!$F$170</f>
        <v>0</v>
      </c>
      <c r="E141" s="492">
        <f>'CB20'!$H$170</f>
        <v>0</v>
      </c>
      <c r="F141" s="492">
        <f>'CB20'!$J$170</f>
        <v>0</v>
      </c>
    </row>
    <row r="142" spans="1:6">
      <c r="A142" s="11" t="str">
        <f>C1&amp;".e20.14050701"</f>
        <v>Company Code.e20.14050701</v>
      </c>
      <c r="B142" s="492">
        <f>'CB20'!$B$171</f>
        <v>0</v>
      </c>
      <c r="C142" s="492">
        <f>'CB20'!$D$171</f>
        <v>0</v>
      </c>
      <c r="D142" s="492">
        <f>'CB20'!$F$171</f>
        <v>0</v>
      </c>
      <c r="E142" s="492">
        <f>'CB20'!$H$171</f>
        <v>0</v>
      </c>
      <c r="F142" s="492">
        <f>'CB20'!$J$171</f>
        <v>0</v>
      </c>
    </row>
    <row r="143" spans="1:6">
      <c r="A143" s="11" t="str">
        <f>C1&amp;".e20.14050702"</f>
        <v>Company Code.e20.14050702</v>
      </c>
      <c r="B143" s="492">
        <f>'CB20'!$B$172</f>
        <v>0</v>
      </c>
      <c r="C143" s="492">
        <f>'CB20'!$D$172</f>
        <v>0</v>
      </c>
      <c r="D143" s="492">
        <f>'CB20'!$F$172</f>
        <v>0</v>
      </c>
      <c r="E143" s="492">
        <f>'CB20'!$H$172</f>
        <v>0</v>
      </c>
      <c r="F143" s="492">
        <f>'CB20'!$J$172</f>
        <v>0</v>
      </c>
    </row>
    <row r="144" spans="1:6">
      <c r="A144" s="11" t="str">
        <f>C1&amp;".e20.140508"</f>
        <v>Company Code.e20.140508</v>
      </c>
      <c r="B144" s="492">
        <f>'CB20'!$B$173</f>
        <v>0</v>
      </c>
      <c r="C144" s="492">
        <f>'CB20'!$D$173</f>
        <v>0</v>
      </c>
      <c r="D144" s="492">
        <f>'CB20'!$F$173</f>
        <v>0</v>
      </c>
      <c r="E144" s="492">
        <f>'CB20'!$H$173</f>
        <v>0</v>
      </c>
      <c r="F144" s="492">
        <f>'CB20'!$J$173</f>
        <v>0</v>
      </c>
    </row>
    <row r="145" spans="1:6">
      <c r="A145" s="11" t="str">
        <f>C1&amp;".e20.1406"</f>
        <v>Company Code.e20.1406</v>
      </c>
      <c r="B145" s="492">
        <f>'CB20'!$B$174</f>
        <v>0</v>
      </c>
      <c r="C145" s="492">
        <f>'CB20'!$D$174</f>
        <v>0</v>
      </c>
      <c r="D145" s="492">
        <f>'CB20'!$F$174</f>
        <v>0</v>
      </c>
      <c r="E145" s="492">
        <f>'CB20'!$H$174</f>
        <v>0</v>
      </c>
      <c r="F145" s="492">
        <f>'CB20'!$J$174</f>
        <v>0</v>
      </c>
    </row>
    <row r="146" spans="1:6">
      <c r="A146" s="11" t="str">
        <f>C1&amp;".e20.14_gross"</f>
        <v>Company Code.e20.14_gross</v>
      </c>
      <c r="B146" s="492">
        <f>'CB20'!$B$176</f>
        <v>0</v>
      </c>
      <c r="C146" s="492">
        <f>'CB20'!$D$176</f>
        <v>0</v>
      </c>
      <c r="D146" s="492">
        <f>'CB20'!$F$176</f>
        <v>0</v>
      </c>
      <c r="E146" s="492">
        <f>'CB20'!$H$176</f>
        <v>0</v>
      </c>
      <c r="F146" s="492">
        <f>'CB20'!$J$176</f>
        <v>0</v>
      </c>
    </row>
    <row r="147" spans="1:6">
      <c r="A147" s="11" t="str">
        <f>C1&amp;".e20.1409"</f>
        <v>Company Code.e20.1409</v>
      </c>
      <c r="B147" s="492">
        <f>'CB20'!$B$178</f>
        <v>0</v>
      </c>
      <c r="C147" s="492">
        <f>'CB20'!$D$178</f>
        <v>0</v>
      </c>
      <c r="D147" s="492">
        <f>'CB20'!$F$178</f>
        <v>0</v>
      </c>
      <c r="E147" s="492">
        <f>'CB20'!$H$178</f>
        <v>0</v>
      </c>
      <c r="F147" s="492">
        <f>'CB20'!$J$178</f>
        <v>0</v>
      </c>
    </row>
    <row r="148" spans="1:6">
      <c r="A148" s="11" t="str">
        <f>C1&amp;".e20.140901"</f>
        <v>Company Code.e20.140901</v>
      </c>
      <c r="B148" s="492">
        <f>'CB20'!$B$179</f>
        <v>0</v>
      </c>
      <c r="C148" s="492">
        <f>'CB20'!$D$179</f>
        <v>0</v>
      </c>
      <c r="D148" s="492">
        <f>'CB20'!$F$179</f>
        <v>0</v>
      </c>
      <c r="E148" s="492">
        <f>'CB20'!$H$179</f>
        <v>0</v>
      </c>
      <c r="F148" s="492">
        <f>'CB20'!$J$179</f>
        <v>0</v>
      </c>
    </row>
    <row r="149" spans="1:6">
      <c r="A149" s="11" t="str">
        <f>C1&amp;".e20.140902"</f>
        <v>Company Code.e20.140902</v>
      </c>
      <c r="B149" s="492">
        <f>'CB20'!$B$180</f>
        <v>0</v>
      </c>
      <c r="C149" s="492">
        <f>'CB20'!$D$180</f>
        <v>0</v>
      </c>
      <c r="D149" s="492">
        <f>'CB20'!$F$180</f>
        <v>0</v>
      </c>
      <c r="E149" s="492">
        <f>'CB20'!$H$180</f>
        <v>0</v>
      </c>
      <c r="F149" s="492">
        <f>'CB20'!$J$180</f>
        <v>0</v>
      </c>
    </row>
    <row r="150" spans="1:6">
      <c r="A150" s="11" t="str">
        <f>C1&amp;".e20.14"</f>
        <v>Company Code.e20.14</v>
      </c>
      <c r="B150" s="492">
        <f>'CB20'!$B$182</f>
        <v>0</v>
      </c>
      <c r="C150" s="492">
        <f>'CB20'!$D$182</f>
        <v>0</v>
      </c>
      <c r="D150" s="492">
        <f>'CB20'!$F$182</f>
        <v>0</v>
      </c>
      <c r="E150" s="492">
        <f>'CB20'!$H$182</f>
        <v>0</v>
      </c>
      <c r="F150" s="492">
        <f>'CB20'!$J$182</f>
        <v>0</v>
      </c>
    </row>
    <row r="151" spans="1:6">
      <c r="A151" s="11" t="str">
        <f>C1&amp;".e20.1601"</f>
        <v>Company Code.e20.1601</v>
      </c>
      <c r="B151" s="492">
        <f>'CB20'!$B$187</f>
        <v>0</v>
      </c>
      <c r="C151" s="492">
        <f>'CB20'!$D$187</f>
        <v>0</v>
      </c>
      <c r="D151" s="492">
        <f>'CB20'!$F$187</f>
        <v>0</v>
      </c>
      <c r="E151" s="492">
        <f>'CB20'!$H$187</f>
        <v>0</v>
      </c>
      <c r="F151" s="492">
        <f>'CB20'!$J$187</f>
        <v>0</v>
      </c>
    </row>
    <row r="152" spans="1:6">
      <c r="A152" s="11" t="str">
        <f>C1&amp;".e20.160101"</f>
        <v>Company Code.e20.160101</v>
      </c>
      <c r="B152" s="492">
        <f>'CB20'!$B$188</f>
        <v>0</v>
      </c>
      <c r="C152" s="492">
        <f>'CB20'!$D$188</f>
        <v>0</v>
      </c>
      <c r="D152" s="492">
        <f>'CB20'!$F$188</f>
        <v>0</v>
      </c>
      <c r="E152" s="492">
        <f>'CB20'!$H$188</f>
        <v>0</v>
      </c>
      <c r="F152" s="492">
        <f>'CB20'!$J$188</f>
        <v>0</v>
      </c>
    </row>
    <row r="153" spans="1:6">
      <c r="A153" s="11" t="str">
        <f>C1&amp;".e20.160102"</f>
        <v>Company Code.e20.160102</v>
      </c>
      <c r="B153" s="492">
        <f>'CB20'!$B$189</f>
        <v>0</v>
      </c>
      <c r="C153" s="492">
        <f>'CB20'!$D$189</f>
        <v>0</v>
      </c>
      <c r="D153" s="492">
        <f>'CB20'!$F$189</f>
        <v>0</v>
      </c>
      <c r="E153" s="492">
        <f>'CB20'!$H$189</f>
        <v>0</v>
      </c>
      <c r="F153" s="492">
        <f>'CB20'!$J$189</f>
        <v>0</v>
      </c>
    </row>
    <row r="154" spans="1:6">
      <c r="A154" s="11" t="str">
        <f>C1&amp;".e20.1602"</f>
        <v>Company Code.e20.1602</v>
      </c>
      <c r="B154" s="492">
        <f>'CB20'!$B$190</f>
        <v>0</v>
      </c>
      <c r="C154" s="492">
        <f>'CB20'!$D$190</f>
        <v>0</v>
      </c>
      <c r="D154" s="492">
        <f>'CB20'!$F$190</f>
        <v>0</v>
      </c>
      <c r="E154" s="492">
        <f>'CB20'!$H$190</f>
        <v>0</v>
      </c>
      <c r="F154" s="492">
        <f>'CB20'!$J$190</f>
        <v>0</v>
      </c>
    </row>
    <row r="155" spans="1:6">
      <c r="A155" s="11" t="str">
        <f>C1&amp;".e20.160201"</f>
        <v>Company Code.e20.160201</v>
      </c>
      <c r="B155" s="492">
        <f>'CB20'!$B$191</f>
        <v>0</v>
      </c>
      <c r="C155" s="492">
        <f>'CB20'!$D$191</f>
        <v>0</v>
      </c>
      <c r="D155" s="492">
        <f>'CB20'!$F$191</f>
        <v>0</v>
      </c>
      <c r="E155" s="802"/>
      <c r="F155" s="802"/>
    </row>
    <row r="156" spans="1:6">
      <c r="A156" s="11" t="str">
        <f>C1&amp;".e20.16020101"</f>
        <v>Company Code.e20.16020101</v>
      </c>
      <c r="B156" s="492">
        <f>'CB20'!$B$192</f>
        <v>0</v>
      </c>
      <c r="C156" s="492">
        <f>'CB20'!$D$192</f>
        <v>0</v>
      </c>
      <c r="D156" s="492">
        <f>'CB20'!$F$192</f>
        <v>0</v>
      </c>
      <c r="E156" s="802"/>
      <c r="F156" s="802"/>
    </row>
    <row r="157" spans="1:6">
      <c r="A157" s="11" t="str">
        <f>C1&amp;".e20.16020102"</f>
        <v>Company Code.e20.16020102</v>
      </c>
      <c r="B157" s="492">
        <f>'CB20'!$B$193</f>
        <v>0</v>
      </c>
      <c r="C157" s="492">
        <f>'CB20'!$D$193</f>
        <v>0</v>
      </c>
      <c r="D157" s="492">
        <f>'CB20'!$F$193</f>
        <v>0</v>
      </c>
      <c r="E157" s="802"/>
      <c r="F157" s="802"/>
    </row>
    <row r="158" spans="1:6">
      <c r="A158" s="11" t="str">
        <f>C1&amp;".e20.160202"</f>
        <v>Company Code.e20.160202</v>
      </c>
      <c r="B158" s="492">
        <f>'CB20'!$B$194</f>
        <v>0</v>
      </c>
      <c r="C158" s="492">
        <f>'CB20'!$D$194</f>
        <v>0</v>
      </c>
      <c r="D158" s="492">
        <f>'CB20'!$F$194</f>
        <v>0</v>
      </c>
      <c r="E158" s="492">
        <f>'CB20'!$H$194</f>
        <v>0</v>
      </c>
      <c r="F158" s="492">
        <f>'CB20'!$J$194</f>
        <v>0</v>
      </c>
    </row>
    <row r="159" spans="1:6">
      <c r="A159" s="11" t="str">
        <f>C1&amp;".e20.16020201"</f>
        <v>Company Code.e20.16020201</v>
      </c>
      <c r="B159" s="492">
        <f>'CB20'!$B$195</f>
        <v>0</v>
      </c>
      <c r="C159" s="492">
        <f>'CB20'!$D$195</f>
        <v>0</v>
      </c>
      <c r="D159" s="492">
        <f>'CB20'!$F$195</f>
        <v>0</v>
      </c>
      <c r="E159" s="492">
        <f>'CB20'!$H$195</f>
        <v>0</v>
      </c>
      <c r="F159" s="492">
        <f>'CB20'!$J$195</f>
        <v>0</v>
      </c>
    </row>
    <row r="160" spans="1:6">
      <c r="A160" s="11" t="str">
        <f>C1&amp;".e20.16020202"</f>
        <v>Company Code.e20.16020202</v>
      </c>
      <c r="B160" s="492">
        <f>'CB20'!$B$196</f>
        <v>0</v>
      </c>
      <c r="C160" s="492">
        <f>'CB20'!$D$196</f>
        <v>0</v>
      </c>
      <c r="D160" s="492">
        <f>'CB20'!$F$196</f>
        <v>0</v>
      </c>
      <c r="E160" s="492">
        <f>'CB20'!$H$196</f>
        <v>0</v>
      </c>
      <c r="F160" s="492">
        <f>'CB20'!$J$196</f>
        <v>0</v>
      </c>
    </row>
    <row r="161" spans="1:6">
      <c r="A161" s="11" t="str">
        <f>C1&amp;".e20.1603"</f>
        <v>Company Code.e20.1603</v>
      </c>
      <c r="B161" s="492">
        <f>'CB20'!$B$197</f>
        <v>0</v>
      </c>
      <c r="C161" s="492">
        <f>'CB20'!$D$197</f>
        <v>0</v>
      </c>
      <c r="D161" s="492">
        <f>'CB20'!$F$197</f>
        <v>0</v>
      </c>
      <c r="E161" s="492">
        <f>'CB20'!$H$197</f>
        <v>0</v>
      </c>
      <c r="F161" s="492">
        <f>'CB20'!$J$197</f>
        <v>0</v>
      </c>
    </row>
    <row r="162" spans="1:6">
      <c r="A162" s="11" t="str">
        <f>C1&amp;".e20.160301"</f>
        <v>Company Code.e20.160301</v>
      </c>
      <c r="B162" s="492">
        <f>'CB20'!$B$198</f>
        <v>0</v>
      </c>
      <c r="C162" s="492">
        <f>'CB20'!$D$198</f>
        <v>0</v>
      </c>
      <c r="D162" s="492">
        <f>'CB20'!$F$198</f>
        <v>0</v>
      </c>
      <c r="E162" s="492">
        <f>'CB20'!$H$198</f>
        <v>0</v>
      </c>
      <c r="F162" s="492">
        <f>'CB20'!$J$198</f>
        <v>0</v>
      </c>
    </row>
    <row r="163" spans="1:6">
      <c r="A163" s="11" t="str">
        <f>C1&amp;".e20.160302"</f>
        <v>Company Code.e20.160302</v>
      </c>
      <c r="B163" s="492">
        <f>'CB20'!$B$199</f>
        <v>0</v>
      </c>
      <c r="C163" s="492">
        <f>'CB20'!$D$199</f>
        <v>0</v>
      </c>
      <c r="D163" s="492">
        <f>'CB20'!$F$199</f>
        <v>0</v>
      </c>
      <c r="E163" s="492">
        <f>'CB20'!$H$199</f>
        <v>0</v>
      </c>
      <c r="F163" s="492">
        <f>'CB20'!$J$199</f>
        <v>0</v>
      </c>
    </row>
    <row r="164" spans="1:6">
      <c r="A164" s="11" t="str">
        <f>C1&amp;".e20.1609"</f>
        <v>Company Code.e20.1609</v>
      </c>
      <c r="B164" s="492">
        <f>'CB20'!$B$200</f>
        <v>0</v>
      </c>
      <c r="C164" s="492">
        <f>'CB20'!$D$200</f>
        <v>0</v>
      </c>
      <c r="D164" s="492">
        <f>'CB20'!$F$200</f>
        <v>0</v>
      </c>
      <c r="E164" s="492">
        <f>'CB20'!$H$200</f>
        <v>0</v>
      </c>
      <c r="F164" s="492">
        <f>'CB20'!$J$200</f>
        <v>0</v>
      </c>
    </row>
    <row r="165" spans="1:6">
      <c r="A165" s="11" t="str">
        <f>C1&amp;".e20.160901"</f>
        <v>Company Code.e20.160901</v>
      </c>
      <c r="B165" s="492">
        <f>'CB20'!$B$201</f>
        <v>0</v>
      </c>
      <c r="C165" s="492">
        <f>'CB20'!$D$201</f>
        <v>0</v>
      </c>
      <c r="D165" s="492">
        <f>'CB20'!$F$201</f>
        <v>0</v>
      </c>
      <c r="E165" s="492">
        <f>'CB20'!$H$201</f>
        <v>0</v>
      </c>
      <c r="F165" s="492">
        <f>'CB20'!$J$201</f>
        <v>0</v>
      </c>
    </row>
    <row r="166" spans="1:6">
      <c r="A166" s="11" t="s">
        <v>647</v>
      </c>
    </row>
    <row r="167" spans="1:6">
      <c r="A167" s="11" t="str">
        <f>C1&amp;".e20.160901_1.name"</f>
        <v>Company Code.e20.160901_1.name</v>
      </c>
      <c r="B167" s="492" t="str">
        <f>'CB20'!$A$202</f>
        <v xml:space="preserve"> </v>
      </c>
    </row>
    <row r="168" spans="1:6">
      <c r="A168" s="11" t="str">
        <f>C1&amp;".e20.160901_1.all"</f>
        <v>Company Code.e20.160901_1.all</v>
      </c>
      <c r="B168" s="492">
        <f>'CB20'!$B$202</f>
        <v>0</v>
      </c>
    </row>
    <row r="169" spans="1:6">
      <c r="A169" s="11" t="str">
        <f>C1&amp;".e20.160901_1.r.tt"</f>
        <v>Company Code.e20.160901_1.r.tt</v>
      </c>
      <c r="B169" s="492">
        <f>'CB20'!$D$202</f>
        <v>0</v>
      </c>
    </row>
    <row r="170" spans="1:6">
      <c r="A170" s="11" t="str">
        <f>C1&amp;".e20.160901_1.r.for"</f>
        <v>Company Code.e20.160901_1.r.for</v>
      </c>
      <c r="B170" s="492">
        <f>'CB20'!$F$202</f>
        <v>0</v>
      </c>
    </row>
    <row r="171" spans="1:6">
      <c r="A171" s="11" t="str">
        <f>C1&amp;".e20.160901_1.nr.tt"</f>
        <v>Company Code.e20.160901_1.nr.tt</v>
      </c>
      <c r="B171" s="492">
        <f>'CB20'!$H$202</f>
        <v>0</v>
      </c>
    </row>
    <row r="172" spans="1:6">
      <c r="A172" s="11" t="str">
        <f>C1&amp;".e20.160901_1.nr.for"</f>
        <v>Company Code.e20.160901_1.nr.for</v>
      </c>
      <c r="B172" s="492">
        <f>'CB20'!$J$202</f>
        <v>0</v>
      </c>
    </row>
    <row r="173" spans="1:6">
      <c r="A173" s="11" t="str">
        <f>C1&amp;".e20.160901_2.name"</f>
        <v>Company Code.e20.160901_2.name</v>
      </c>
      <c r="B173" s="492">
        <f>'CB20'!$A$203</f>
        <v>0</v>
      </c>
    </row>
    <row r="174" spans="1:6">
      <c r="A174" s="11" t="str">
        <f>C1&amp;".e20.160901_2.all"</f>
        <v>Company Code.e20.160901_2.all</v>
      </c>
      <c r="B174" s="492">
        <f>'CB20'!$B$203</f>
        <v>0</v>
      </c>
    </row>
    <row r="175" spans="1:6">
      <c r="A175" s="11" t="str">
        <f>C1&amp;".e20.160901_2.r.tt"</f>
        <v>Company Code.e20.160901_2.r.tt</v>
      </c>
      <c r="B175" s="492">
        <f>'CB20'!$D$203</f>
        <v>0</v>
      </c>
    </row>
    <row r="176" spans="1:6">
      <c r="A176" s="11" t="str">
        <f>C1&amp;".e20.160901_2.r.for"</f>
        <v>Company Code.e20.160901_2.r.for</v>
      </c>
      <c r="B176" s="492">
        <f>'CB20'!$F$203</f>
        <v>0</v>
      </c>
    </row>
    <row r="177" spans="1:2">
      <c r="A177" s="11" t="str">
        <f>C1&amp;".e20.160901_2.nr.tt"</f>
        <v>Company Code.e20.160901_2.nr.tt</v>
      </c>
      <c r="B177" s="492">
        <f>'CB20'!$H$203</f>
        <v>0</v>
      </c>
    </row>
    <row r="178" spans="1:2">
      <c r="A178" s="11" t="str">
        <f>C1&amp;".e20.160901_2.nr.for"</f>
        <v>Company Code.e20.160901_2.nr.for</v>
      </c>
      <c r="B178" s="492">
        <f>'CB20'!$J$203</f>
        <v>0</v>
      </c>
    </row>
    <row r="179" spans="1:2">
      <c r="A179" s="11" t="str">
        <f>C1&amp;".e20.160901_3.name"</f>
        <v>Company Code.e20.160901_3.name</v>
      </c>
      <c r="B179" s="492">
        <f>'CB20'!$A$204</f>
        <v>0</v>
      </c>
    </row>
    <row r="180" spans="1:2">
      <c r="A180" s="11" t="str">
        <f>C1&amp;".e20.160901_3.all"</f>
        <v>Company Code.e20.160901_3.all</v>
      </c>
      <c r="B180" s="492">
        <f>'CB20'!$B$204</f>
        <v>0</v>
      </c>
    </row>
    <row r="181" spans="1:2">
      <c r="A181" s="11" t="str">
        <f>C1&amp;".e20.160901_3.r.tt"</f>
        <v>Company Code.e20.160901_3.r.tt</v>
      </c>
      <c r="B181" s="492">
        <f>'CB20'!$D$204</f>
        <v>0</v>
      </c>
    </row>
    <row r="182" spans="1:2">
      <c r="A182" s="11" t="str">
        <f>C1&amp;".e20.160901_3.r.for"</f>
        <v>Company Code.e20.160901_3.r.for</v>
      </c>
      <c r="B182" s="492">
        <f>'CB20'!$F$204</f>
        <v>0</v>
      </c>
    </row>
    <row r="183" spans="1:2">
      <c r="A183" s="11" t="str">
        <f>C1&amp;".e20.160901_3.nr.tt"</f>
        <v>Company Code.e20.160901_3.nr.tt</v>
      </c>
      <c r="B183" s="492">
        <f>'CB20'!$H$204</f>
        <v>0</v>
      </c>
    </row>
    <row r="184" spans="1:2">
      <c r="A184" s="11" t="str">
        <f>C1&amp;".e20.160901_3.nr.for"</f>
        <v>Company Code.e20.160901_3.nr.for</v>
      </c>
      <c r="B184" s="492">
        <f>'CB20'!$J$204</f>
        <v>0</v>
      </c>
    </row>
    <row r="185" spans="1:2">
      <c r="A185" s="11" t="str">
        <f>C1&amp;".e20.160901_4.name"</f>
        <v>Company Code.e20.160901_4.name</v>
      </c>
      <c r="B185" s="492">
        <f>'CB20'!$A$205</f>
        <v>0</v>
      </c>
    </row>
    <row r="186" spans="1:2">
      <c r="A186" s="11" t="str">
        <f>C1&amp;".e20.160901_4.all"</f>
        <v>Company Code.e20.160901_4.all</v>
      </c>
      <c r="B186" s="492">
        <f>'CB20'!$B$205</f>
        <v>0</v>
      </c>
    </row>
    <row r="187" spans="1:2">
      <c r="A187" s="11" t="str">
        <f>C1&amp;".e20.160901_4.r.tt"</f>
        <v>Company Code.e20.160901_4.r.tt</v>
      </c>
      <c r="B187" s="492">
        <f>'CB20'!$D$205</f>
        <v>0</v>
      </c>
    </row>
    <row r="188" spans="1:2">
      <c r="A188" s="11" t="str">
        <f>C1&amp;".e20.160901_4.r.for"</f>
        <v>Company Code.e20.160901_4.r.for</v>
      </c>
      <c r="B188" s="492">
        <f>'CB20'!$F$205</f>
        <v>0</v>
      </c>
    </row>
    <row r="189" spans="1:2">
      <c r="A189" s="11" t="str">
        <f>C1&amp;".e20.160901_4.nr.tt"</f>
        <v>Company Code.e20.160901_4.nr.tt</v>
      </c>
      <c r="B189" s="492">
        <f>'CB20'!$H$205</f>
        <v>0</v>
      </c>
    </row>
    <row r="190" spans="1:2">
      <c r="A190" s="11" t="str">
        <f>C1&amp;".e20.160901_4.nr.for"</f>
        <v>Company Code.e20.160901_4.nr.for</v>
      </c>
      <c r="B190" s="492">
        <f>'CB20'!$J$205</f>
        <v>0</v>
      </c>
    </row>
    <row r="191" spans="1:2">
      <c r="A191" s="11" t="str">
        <f>C1&amp;".e20.160901_5.name"</f>
        <v>Company Code.e20.160901_5.name</v>
      </c>
      <c r="B191" s="492">
        <f>'CB20'!$A$206</f>
        <v>0</v>
      </c>
    </row>
    <row r="192" spans="1:2">
      <c r="A192" s="11" t="str">
        <f>C1&amp;".e20.160901_5.all"</f>
        <v>Company Code.e20.160901_5.all</v>
      </c>
      <c r="B192" s="492">
        <f>'CB20'!$B$206</f>
        <v>0</v>
      </c>
    </row>
    <row r="193" spans="1:6">
      <c r="A193" s="11" t="str">
        <f>C1&amp;".e20.160901_5.r.tt"</f>
        <v>Company Code.e20.160901_5.r.tt</v>
      </c>
      <c r="B193" s="492">
        <f>'CB20'!$D$206</f>
        <v>0</v>
      </c>
    </row>
    <row r="194" spans="1:6">
      <c r="A194" s="11" t="str">
        <f>C1&amp;".e20.160901_5.r.for"</f>
        <v>Company Code.e20.160901_5.r.for</v>
      </c>
      <c r="B194" s="492">
        <f>'CB20'!$F$206</f>
        <v>0</v>
      </c>
    </row>
    <row r="195" spans="1:6">
      <c r="A195" s="11" t="str">
        <f>C1&amp;".e20.160901_5.nr.tt"</f>
        <v>Company Code.e20.160901_5.nr.tt</v>
      </c>
      <c r="B195" s="492">
        <f>'CB20'!$H$206</f>
        <v>0</v>
      </c>
    </row>
    <row r="196" spans="1:6">
      <c r="A196" s="11" t="str">
        <f>C1&amp;".e20.160901_5.nr.for"</f>
        <v>Company Code.e20.160901_5.nr.for</v>
      </c>
      <c r="B196" s="492">
        <f>'CB20'!$J$206</f>
        <v>0</v>
      </c>
    </row>
    <row r="197" spans="1:6">
      <c r="A197" s="11" t="str">
        <f>C1&amp;".e20.160901_6.name"</f>
        <v>Company Code.e20.160901_6.name</v>
      </c>
      <c r="B197" s="492">
        <f>'CB20'!$A$207</f>
        <v>0</v>
      </c>
    </row>
    <row r="198" spans="1:6">
      <c r="A198" s="11" t="str">
        <f>C1&amp;".e20.160901_6.all"</f>
        <v>Company Code.e20.160901_6.all</v>
      </c>
      <c r="B198" s="492">
        <f>'CB20'!$B$207</f>
        <v>0</v>
      </c>
    </row>
    <row r="199" spans="1:6">
      <c r="A199" s="11" t="str">
        <f>C1&amp;".e20.160901_6.r.tt"</f>
        <v>Company Code.e20.160901_6.r.tt</v>
      </c>
      <c r="B199" s="492">
        <f>'CB20'!$D$207</f>
        <v>0</v>
      </c>
    </row>
    <row r="200" spans="1:6">
      <c r="A200" s="11" t="str">
        <f>C1&amp;".e20.160901_6.r.for"</f>
        <v>Company Code.e20.160901_6.r.for</v>
      </c>
      <c r="B200" s="492">
        <f>'CB20'!$F$207</f>
        <v>0</v>
      </c>
    </row>
    <row r="201" spans="1:6">
      <c r="A201" s="11" t="str">
        <f>C1&amp;".e20.160901_6.nr.tt"</f>
        <v>Company Code.e20.160901_6.nr.tt</v>
      </c>
      <c r="B201" s="492">
        <f>'CB20'!$H$207</f>
        <v>0</v>
      </c>
    </row>
    <row r="202" spans="1:6">
      <c r="A202" s="11" t="str">
        <f>C1&amp;".e20.160901_6.nr.for"</f>
        <v>Company Code.e20.160901_6.nr.for</v>
      </c>
      <c r="B202" s="492">
        <f>'CB20'!$J$207</f>
        <v>0</v>
      </c>
    </row>
    <row r="203" spans="1:6">
      <c r="A203" s="11" t="s">
        <v>648</v>
      </c>
      <c r="B203" s="493" t="s">
        <v>642</v>
      </c>
      <c r="C203" s="494" t="s">
        <v>643</v>
      </c>
      <c r="D203" s="494" t="s">
        <v>644</v>
      </c>
      <c r="E203" s="494" t="s">
        <v>645</v>
      </c>
      <c r="F203" s="494" t="s">
        <v>646</v>
      </c>
    </row>
    <row r="204" spans="1:6">
      <c r="A204" s="11" t="str">
        <f>C1&amp;".e20.160902"</f>
        <v>Company Code.e20.160902</v>
      </c>
      <c r="B204" s="492">
        <f>'CB20'!$B$208</f>
        <v>0</v>
      </c>
      <c r="C204" s="492">
        <f>'CB20'!$D$208</f>
        <v>0</v>
      </c>
      <c r="D204" s="492">
        <f>'CB20'!$F$208</f>
        <v>0</v>
      </c>
      <c r="E204" s="492">
        <f>'CB20'!$H$208</f>
        <v>0</v>
      </c>
      <c r="F204" s="492">
        <f>'CB20'!$J$208</f>
        <v>0</v>
      </c>
    </row>
    <row r="205" spans="1:6">
      <c r="A205" s="11" t="s">
        <v>649</v>
      </c>
    </row>
    <row r="206" spans="1:6">
      <c r="A206" s="11" t="str">
        <f>C1&amp;".e20.160902_1.name"</f>
        <v>Company Code.e20.160902_1.name</v>
      </c>
      <c r="B206" s="492" t="str">
        <f>'CB20'!$A$209</f>
        <v xml:space="preserve"> </v>
      </c>
    </row>
    <row r="207" spans="1:6">
      <c r="A207" s="11" t="str">
        <f>C1&amp;".e20.160902_1.all"</f>
        <v>Company Code.e20.160902_1.all</v>
      </c>
      <c r="B207" s="492">
        <f>'CB20'!$B$209</f>
        <v>0</v>
      </c>
    </row>
    <row r="208" spans="1:6">
      <c r="A208" s="11" t="str">
        <f>C1&amp;".e20.160902_1.r.tt"</f>
        <v>Company Code.e20.160902_1.r.tt</v>
      </c>
      <c r="B208" s="492">
        <f>'CB20'!$D$209</f>
        <v>0</v>
      </c>
    </row>
    <row r="209" spans="1:2">
      <c r="A209" s="11" t="str">
        <f>C1&amp;".e20.160902_1.r.for"</f>
        <v>Company Code.e20.160902_1.r.for</v>
      </c>
      <c r="B209" s="492">
        <f>'CB20'!$F$209</f>
        <v>0</v>
      </c>
    </row>
    <row r="210" spans="1:2">
      <c r="A210" s="11" t="str">
        <f>C1&amp;".e20.160902_1.nr.tt"</f>
        <v>Company Code.e20.160902_1.nr.tt</v>
      </c>
      <c r="B210" s="492">
        <f>'CB20'!$H$209</f>
        <v>0</v>
      </c>
    </row>
    <row r="211" spans="1:2">
      <c r="A211" s="11" t="str">
        <f>C1&amp;".e20.160902_1.nr.for"</f>
        <v>Company Code.e20.160902_1.nr.for</v>
      </c>
      <c r="B211" s="492">
        <f>'CB20'!$J$209</f>
        <v>0</v>
      </c>
    </row>
    <row r="212" spans="1:2">
      <c r="A212" s="11" t="str">
        <f>C1&amp;".e20.160902_2.name"</f>
        <v>Company Code.e20.160902_2.name</v>
      </c>
      <c r="B212" s="492">
        <f>'CB20'!$A$210</f>
        <v>0</v>
      </c>
    </row>
    <row r="213" spans="1:2">
      <c r="A213" s="11" t="str">
        <f>C1&amp;".e20.160902_2.all"</f>
        <v>Company Code.e20.160902_2.all</v>
      </c>
      <c r="B213" s="492">
        <f>'CB20'!$B$210</f>
        <v>0</v>
      </c>
    </row>
    <row r="214" spans="1:2">
      <c r="A214" s="11" t="str">
        <f>C1&amp;".e20.160902_2.r.tt"</f>
        <v>Company Code.e20.160902_2.r.tt</v>
      </c>
      <c r="B214" s="492">
        <f>'CB20'!$D$210</f>
        <v>0</v>
      </c>
    </row>
    <row r="215" spans="1:2">
      <c r="A215" s="11" t="str">
        <f>C1&amp;".e20.160902_2.r.for"</f>
        <v>Company Code.e20.160902_2.r.for</v>
      </c>
      <c r="B215" s="492">
        <f>'CB20'!$F$210</f>
        <v>0</v>
      </c>
    </row>
    <row r="216" spans="1:2">
      <c r="A216" s="11" t="str">
        <f>C1&amp;".e20.160902_2.nr.tt"</f>
        <v>Company Code.e20.160902_2.nr.tt</v>
      </c>
      <c r="B216" s="492">
        <f>'CB20'!$H$210</f>
        <v>0</v>
      </c>
    </row>
    <row r="217" spans="1:2">
      <c r="A217" s="11" t="str">
        <f>C1&amp;".e20.160902_2.nr.for"</f>
        <v>Company Code.e20.160902_2.nr.for</v>
      </c>
      <c r="B217" s="492">
        <f>'CB20'!$J$210</f>
        <v>0</v>
      </c>
    </row>
    <row r="218" spans="1:2">
      <c r="A218" s="11" t="str">
        <f>C1&amp;".e20.160902_3.name"</f>
        <v>Company Code.e20.160902_3.name</v>
      </c>
      <c r="B218" s="492">
        <f>'CB20'!$A$211</f>
        <v>0</v>
      </c>
    </row>
    <row r="219" spans="1:2">
      <c r="A219" s="11" t="str">
        <f>C1&amp;".e20.160902_3.all"</f>
        <v>Company Code.e20.160902_3.all</v>
      </c>
      <c r="B219" s="492">
        <f>'CB20'!$B$211</f>
        <v>0</v>
      </c>
    </row>
    <row r="220" spans="1:2">
      <c r="A220" s="11" t="str">
        <f>C1&amp;".e20.160902_3.r.tt"</f>
        <v>Company Code.e20.160902_3.r.tt</v>
      </c>
      <c r="B220" s="492">
        <f>'CB20'!$D$211</f>
        <v>0</v>
      </c>
    </row>
    <row r="221" spans="1:2">
      <c r="A221" s="11" t="str">
        <f>C1&amp;".e20.160902_3.r.for"</f>
        <v>Company Code.e20.160902_3.r.for</v>
      </c>
      <c r="B221" s="492">
        <f>'CB20'!$F$211</f>
        <v>0</v>
      </c>
    </row>
    <row r="222" spans="1:2">
      <c r="A222" s="11" t="str">
        <f>C1&amp;".e20.160902_3.nr.tt"</f>
        <v>Company Code.e20.160902_3.nr.tt</v>
      </c>
      <c r="B222" s="492">
        <f>'CB20'!$H$211</f>
        <v>0</v>
      </c>
    </row>
    <row r="223" spans="1:2">
      <c r="A223" s="11" t="str">
        <f>C1&amp;".e20.160902_3.nr.for"</f>
        <v>Company Code.e20.160902_3.nr.for</v>
      </c>
      <c r="B223" s="492">
        <f>'CB20'!$J$211</f>
        <v>0</v>
      </c>
    </row>
    <row r="224" spans="1:2">
      <c r="A224" s="11" t="str">
        <f>C1&amp;".e20.160902_4.name"</f>
        <v>Company Code.e20.160902_4.name</v>
      </c>
      <c r="B224" s="492">
        <f>'CB20'!$A$212</f>
        <v>0</v>
      </c>
    </row>
    <row r="225" spans="1:2">
      <c r="A225" s="11" t="str">
        <f>C1&amp;".e20.160902_4.all"</f>
        <v>Company Code.e20.160902_4.all</v>
      </c>
      <c r="B225" s="492">
        <f>'CB20'!$B$212</f>
        <v>0</v>
      </c>
    </row>
    <row r="226" spans="1:2">
      <c r="A226" s="11" t="str">
        <f>C1&amp;".e20.160902_4.r.tt"</f>
        <v>Company Code.e20.160902_4.r.tt</v>
      </c>
      <c r="B226" s="492">
        <f>'CB20'!$D$212</f>
        <v>0</v>
      </c>
    </row>
    <row r="227" spans="1:2">
      <c r="A227" s="11" t="str">
        <f>C1&amp;".e20.160902_4.r.for"</f>
        <v>Company Code.e20.160902_4.r.for</v>
      </c>
      <c r="B227" s="492">
        <f>'CB20'!$F$212</f>
        <v>0</v>
      </c>
    </row>
    <row r="228" spans="1:2">
      <c r="A228" s="11" t="str">
        <f>C1&amp;".e20.160902_4.nr.tt"</f>
        <v>Company Code.e20.160902_4.nr.tt</v>
      </c>
      <c r="B228" s="492">
        <f>'CB20'!$H$212</f>
        <v>0</v>
      </c>
    </row>
    <row r="229" spans="1:2">
      <c r="A229" s="11" t="str">
        <f>C1&amp;".e20.160902_4.nr.for"</f>
        <v>Company Code.e20.160902_4.nr.for</v>
      </c>
      <c r="B229" s="492">
        <f>'CB20'!$J$212</f>
        <v>0</v>
      </c>
    </row>
    <row r="230" spans="1:2">
      <c r="A230" s="11" t="str">
        <f>C1&amp;".e20.160902_5.name"</f>
        <v>Company Code.e20.160902_5.name</v>
      </c>
      <c r="B230" s="492">
        <f>'CB20'!$A$213</f>
        <v>0</v>
      </c>
    </row>
    <row r="231" spans="1:2">
      <c r="A231" s="11" t="str">
        <f>C1&amp;".e20.160902_5.all"</f>
        <v>Company Code.e20.160902_5.all</v>
      </c>
      <c r="B231" s="492">
        <f>'CB20'!$B$213</f>
        <v>0</v>
      </c>
    </row>
    <row r="232" spans="1:2">
      <c r="A232" s="11" t="str">
        <f>C1&amp;".e20.160902_5.r.tt"</f>
        <v>Company Code.e20.160902_5.r.tt</v>
      </c>
      <c r="B232" s="492">
        <f>'CB20'!$D$213</f>
        <v>0</v>
      </c>
    </row>
    <row r="233" spans="1:2">
      <c r="A233" s="11" t="str">
        <f>C1&amp;".e20.160902_5.r.for"</f>
        <v>Company Code.e20.160902_5.r.for</v>
      </c>
      <c r="B233" s="492">
        <f>'CB20'!$F$213</f>
        <v>0</v>
      </c>
    </row>
    <row r="234" spans="1:2">
      <c r="A234" s="11" t="str">
        <f>C1&amp;".e20.160902_5.nr.tt"</f>
        <v>Company Code.e20.160902_5.nr.tt</v>
      </c>
      <c r="B234" s="492">
        <f>'CB20'!$H$213</f>
        <v>0</v>
      </c>
    </row>
    <row r="235" spans="1:2">
      <c r="A235" s="11" t="str">
        <f>C1&amp;".e20.160902_5.nr.for"</f>
        <v>Company Code.e20.160902_5.nr.for</v>
      </c>
      <c r="B235" s="492">
        <f>'CB20'!$J$213</f>
        <v>0</v>
      </c>
    </row>
    <row r="236" spans="1:2">
      <c r="A236" s="11" t="str">
        <f>C1&amp;".e20.160902_6.name"</f>
        <v>Company Code.e20.160902_6.name</v>
      </c>
      <c r="B236" s="492">
        <f>'CB20'!$A$214</f>
        <v>0</v>
      </c>
    </row>
    <row r="237" spans="1:2">
      <c r="A237" s="11" t="str">
        <f>C1&amp;".e20.160902_6.all"</f>
        <v>Company Code.e20.160902_6.all</v>
      </c>
      <c r="B237" s="492">
        <f>'CB20'!$B$214</f>
        <v>0</v>
      </c>
    </row>
    <row r="238" spans="1:2">
      <c r="A238" s="11" t="str">
        <f>C1&amp;".e20.160902_6.r.tt"</f>
        <v>Company Code.e20.160902_6.r.tt</v>
      </c>
      <c r="B238" s="492">
        <f>'CB20'!$D$214</f>
        <v>0</v>
      </c>
    </row>
    <row r="239" spans="1:2">
      <c r="A239" s="11" t="str">
        <f>C1&amp;".e20.160902_6.r.for"</f>
        <v>Company Code.e20.160902_6.r.for</v>
      </c>
      <c r="B239" s="492">
        <f>'CB20'!$F$214</f>
        <v>0</v>
      </c>
    </row>
    <row r="240" spans="1:2">
      <c r="A240" s="11" t="str">
        <f>C1&amp;".e20.160902_6.nr.tt"</f>
        <v>Company Code.e20.160902_6.nr.tt</v>
      </c>
      <c r="B240" s="492">
        <f>'CB20'!$H$214</f>
        <v>0</v>
      </c>
    </row>
    <row r="241" spans="1:2">
      <c r="A241" s="11" t="str">
        <f>C1&amp;".e20.160902_6.nr.for"</f>
        <v>Company Code.e20.160902_6.nr.for</v>
      </c>
      <c r="B241" s="492">
        <f>'CB20'!$J$214</f>
        <v>0</v>
      </c>
    </row>
    <row r="242" spans="1:2">
      <c r="A242" s="11" t="str">
        <f>C1&amp;".e20.160902_7.name"</f>
        <v>Company Code.e20.160902_7.name</v>
      </c>
      <c r="B242" s="492">
        <f>'CB20'!$A$215</f>
        <v>0</v>
      </c>
    </row>
    <row r="243" spans="1:2">
      <c r="A243" s="11" t="str">
        <f>C1&amp;".e20.160902_7.all"</f>
        <v>Company Code.e20.160902_7.all</v>
      </c>
      <c r="B243" s="492">
        <f>'CB20'!$B$215</f>
        <v>0</v>
      </c>
    </row>
    <row r="244" spans="1:2">
      <c r="A244" s="11" t="str">
        <f>C1&amp;".e20.160902_7.r.tt"</f>
        <v>Company Code.e20.160902_7.r.tt</v>
      </c>
      <c r="B244" s="492">
        <f>'CB20'!$D$215</f>
        <v>0</v>
      </c>
    </row>
    <row r="245" spans="1:2">
      <c r="A245" s="11" t="str">
        <f>C1&amp;".e20.160902_7.r.for"</f>
        <v>Company Code.e20.160902_7.r.for</v>
      </c>
      <c r="B245" s="492">
        <f>'CB20'!$F$215</f>
        <v>0</v>
      </c>
    </row>
    <row r="246" spans="1:2">
      <c r="A246" s="11" t="str">
        <f>C1&amp;".e20.160902_7.nr.tt"</f>
        <v>Company Code.e20.160902_7.nr.tt</v>
      </c>
      <c r="B246" s="492">
        <f>'CB20'!$H$215</f>
        <v>0</v>
      </c>
    </row>
    <row r="247" spans="1:2">
      <c r="A247" s="11" t="str">
        <f>C1&amp;".e20.160902_7.nr.for"</f>
        <v>Company Code.e20.160902_7.nr.for</v>
      </c>
      <c r="B247" s="492">
        <f>'CB20'!$J$215</f>
        <v>0</v>
      </c>
    </row>
    <row r="248" spans="1:2">
      <c r="A248" s="11" t="str">
        <f>C1&amp;".e20.160902_8.name"</f>
        <v>Company Code.e20.160902_8.name</v>
      </c>
      <c r="B248" s="492">
        <f>'CB20'!$A$216</f>
        <v>0</v>
      </c>
    </row>
    <row r="249" spans="1:2">
      <c r="A249" s="11" t="str">
        <f>C1&amp;".e20.160902_8.all"</f>
        <v>Company Code.e20.160902_8.all</v>
      </c>
      <c r="B249" s="492">
        <f>'CB20'!$B$216</f>
        <v>0</v>
      </c>
    </row>
    <row r="250" spans="1:2">
      <c r="A250" s="11" t="str">
        <f>C1&amp;".e20.160902_8.r.tt"</f>
        <v>Company Code.e20.160902_8.r.tt</v>
      </c>
      <c r="B250" s="492">
        <f>'CB20'!$D$216</f>
        <v>0</v>
      </c>
    </row>
    <row r="251" spans="1:2">
      <c r="A251" s="11" t="str">
        <f>C1&amp;".e20.160902_8.r.for"</f>
        <v>Company Code.e20.160902_8.r.for</v>
      </c>
      <c r="B251" s="492">
        <f>'CB20'!$F$216</f>
        <v>0</v>
      </c>
    </row>
    <row r="252" spans="1:2">
      <c r="A252" s="11" t="str">
        <f>C1&amp;".e20.160902_8.nr.tt"</f>
        <v>Company Code.e20.160902_8.nr.tt</v>
      </c>
      <c r="B252" s="492">
        <f>'CB20'!$H$216</f>
        <v>0</v>
      </c>
    </row>
    <row r="253" spans="1:2">
      <c r="A253" s="11" t="str">
        <f>C1&amp;".e20.160902_8.nr.for"</f>
        <v>Company Code.e20.160902_8.nr.for</v>
      </c>
      <c r="B253" s="492">
        <f>'CB20'!$J$216</f>
        <v>0</v>
      </c>
    </row>
    <row r="254" spans="1:2">
      <c r="A254" s="11" t="str">
        <f>C1&amp;".e20.160902_9.name"</f>
        <v>Company Code.e20.160902_9.name</v>
      </c>
      <c r="B254" s="492">
        <f>'CB20'!$A$217</f>
        <v>0</v>
      </c>
    </row>
    <row r="255" spans="1:2">
      <c r="A255" s="11" t="str">
        <f>C1&amp;".e20.160902_9.all"</f>
        <v>Company Code.e20.160902_9.all</v>
      </c>
      <c r="B255" s="492">
        <f>'CB20'!$B$217</f>
        <v>0</v>
      </c>
    </row>
    <row r="256" spans="1:2">
      <c r="A256" s="11" t="str">
        <f>C1&amp;".e20.160902_9.r.tt"</f>
        <v>Company Code.e20.160902_9.r.tt</v>
      </c>
      <c r="B256" s="492">
        <f>'CB20'!$D$217</f>
        <v>0</v>
      </c>
    </row>
    <row r="257" spans="1:6">
      <c r="A257" s="11" t="str">
        <f>C1&amp;".e20.160902_9.r.for"</f>
        <v>Company Code.e20.160902_9.r.for</v>
      </c>
      <c r="B257" s="492">
        <f>'CB20'!$F$217</f>
        <v>0</v>
      </c>
    </row>
    <row r="258" spans="1:6">
      <c r="A258" s="11" t="str">
        <f>C1&amp;".e20.160902_9.nr.tt"</f>
        <v>Company Code.e20.160902_9.nr.tt</v>
      </c>
      <c r="B258" s="492">
        <f>'CB20'!$H$217</f>
        <v>0</v>
      </c>
    </row>
    <row r="259" spans="1:6">
      <c r="A259" s="11" t="str">
        <f>C1&amp;".e20.160902_9.nr.for"</f>
        <v>Company Code.e20.160902_9.nr.for</v>
      </c>
      <c r="B259" s="492">
        <f>'CB20'!$J$217</f>
        <v>0</v>
      </c>
    </row>
    <row r="260" spans="1:6">
      <c r="A260" s="11" t="str">
        <f>C1&amp;".e20.160902_10.name"</f>
        <v>Company Code.e20.160902_10.name</v>
      </c>
      <c r="B260" s="492">
        <f>'CB20'!$A$218</f>
        <v>0</v>
      </c>
    </row>
    <row r="261" spans="1:6">
      <c r="A261" s="11" t="str">
        <f>C1&amp;".e20.160902_10.all"</f>
        <v>Company Code.e20.160902_10.all</v>
      </c>
      <c r="B261" s="492">
        <f>'CB20'!$B$218</f>
        <v>0</v>
      </c>
    </row>
    <row r="262" spans="1:6">
      <c r="A262" s="11" t="str">
        <f>C1&amp;".e20.160902_10.r.tt"</f>
        <v>Company Code.e20.160902_10.r.tt</v>
      </c>
      <c r="B262" s="492">
        <f>'CB20'!$D$218</f>
        <v>0</v>
      </c>
    </row>
    <row r="263" spans="1:6">
      <c r="A263" s="11" t="str">
        <f>C1&amp;".e20.160902_10.r.for"</f>
        <v>Company Code.e20.160902_10.r.for</v>
      </c>
      <c r="B263" s="492">
        <f>'CB20'!$F$218</f>
        <v>0</v>
      </c>
    </row>
    <row r="264" spans="1:6">
      <c r="A264" s="11" t="str">
        <f>C1&amp;".e20.160902_10.nr.tt"</f>
        <v>Company Code.e20.160902_10.nr.tt</v>
      </c>
      <c r="B264" s="492">
        <f>'CB20'!$H$218</f>
        <v>0</v>
      </c>
    </row>
    <row r="265" spans="1:6">
      <c r="A265" s="11" t="str">
        <f>C1&amp;".e20.160902_10.nr.for"</f>
        <v>Company Code.e20.160902_10.nr.for</v>
      </c>
      <c r="B265" s="492">
        <f>'CB20'!$J$218</f>
        <v>0</v>
      </c>
    </row>
    <row r="266" spans="1:6">
      <c r="A266" s="11" t="str">
        <f>C1&amp;".e20.160902_11.name"</f>
        <v>Company Code.e20.160902_11.name</v>
      </c>
      <c r="B266" s="492">
        <f>'CB20'!$A$219</f>
        <v>0</v>
      </c>
    </row>
    <row r="267" spans="1:6">
      <c r="A267" s="11" t="str">
        <f>C1&amp;".e20.160902_11.all"</f>
        <v>Company Code.e20.160902_11.all</v>
      </c>
      <c r="B267" s="492">
        <f>'CB20'!$B$219</f>
        <v>0</v>
      </c>
    </row>
    <row r="268" spans="1:6">
      <c r="A268" s="11" t="str">
        <f>C1&amp;".e20.160902_11.r.tt"</f>
        <v>Company Code.e20.160902_11.r.tt</v>
      </c>
      <c r="B268" s="492">
        <f>'CB20'!$D$219</f>
        <v>0</v>
      </c>
    </row>
    <row r="269" spans="1:6">
      <c r="A269" s="11" t="str">
        <f>C1&amp;".e20.160902_11.r.for"</f>
        <v>Company Code.e20.160902_11.r.for</v>
      </c>
      <c r="B269" s="492">
        <f>'CB20'!$F$219</f>
        <v>0</v>
      </c>
    </row>
    <row r="270" spans="1:6">
      <c r="A270" s="11" t="str">
        <f>C1&amp;".e20.160902_11.nr.tt"</f>
        <v>Company Code.e20.160902_11.nr.tt</v>
      </c>
      <c r="B270" s="492">
        <f>'CB20'!$H$219</f>
        <v>0</v>
      </c>
    </row>
    <row r="271" spans="1:6">
      <c r="A271" s="11" t="str">
        <f>C1&amp;".e20.160902_11.nr.for"</f>
        <v>Company Code.e20.160902_11.nr.for</v>
      </c>
      <c r="B271" s="492">
        <f>'CB20'!$J$219</f>
        <v>0</v>
      </c>
    </row>
    <row r="272" spans="1:6">
      <c r="A272" s="11" t="s">
        <v>650</v>
      </c>
      <c r="B272" s="493" t="s">
        <v>642</v>
      </c>
      <c r="C272" s="494" t="s">
        <v>643</v>
      </c>
      <c r="D272" s="494" t="s">
        <v>644</v>
      </c>
      <c r="E272" s="494" t="s">
        <v>645</v>
      </c>
      <c r="F272" s="494" t="s">
        <v>646</v>
      </c>
    </row>
    <row r="273" spans="1:6">
      <c r="A273" s="11" t="str">
        <f>C1&amp;".e20.16"</f>
        <v>Company Code.e20.16</v>
      </c>
      <c r="B273" s="492">
        <f>'CB20'!$B$221</f>
        <v>0</v>
      </c>
      <c r="C273" s="492">
        <f>'CB20'!$D$221</f>
        <v>0</v>
      </c>
      <c r="D273" s="492">
        <f>'CB20'!$F$221</f>
        <v>0</v>
      </c>
      <c r="E273" s="492">
        <f>'CB20'!$H$221</f>
        <v>0</v>
      </c>
      <c r="F273" s="492">
        <f>'CB20'!$J$221</f>
        <v>0</v>
      </c>
    </row>
    <row r="274" spans="1:6">
      <c r="A274" s="11" t="str">
        <f>C1&amp;".e20.1701"</f>
        <v>Company Code.e20.1701</v>
      </c>
      <c r="B274" s="492">
        <f>'CB20'!$B$226</f>
        <v>0</v>
      </c>
      <c r="C274" s="492">
        <f>'CB20'!$D$226</f>
        <v>0</v>
      </c>
      <c r="D274" s="492">
        <f>'CB20'!$F$226</f>
        <v>0</v>
      </c>
      <c r="E274" s="492">
        <f>'CB20'!$H$226</f>
        <v>0</v>
      </c>
      <c r="F274" s="492">
        <f>'CB20'!$J$226</f>
        <v>0</v>
      </c>
    </row>
    <row r="275" spans="1:6">
      <c r="A275" s="11" t="str">
        <f>C1&amp;".e20.170102"</f>
        <v>Company Code.e20.170102</v>
      </c>
      <c r="B275" s="492">
        <f>'CB20'!$B$227</f>
        <v>0</v>
      </c>
      <c r="C275" s="492">
        <f>'CB20'!$D$227</f>
        <v>0</v>
      </c>
      <c r="D275" s="492">
        <f>'CB20'!$F$227</f>
        <v>0</v>
      </c>
      <c r="E275" s="492">
        <f>'CB20'!$H$227</f>
        <v>0</v>
      </c>
      <c r="F275" s="492">
        <f>'CB20'!$J$227</f>
        <v>0</v>
      </c>
    </row>
    <row r="276" spans="1:6">
      <c r="A276" s="11" t="str">
        <f>C1&amp;".e20.170103"</f>
        <v>Company Code.e20.170103</v>
      </c>
      <c r="B276" s="492">
        <f>'CB20'!$B$228</f>
        <v>0</v>
      </c>
      <c r="C276" s="492">
        <f>'CB20'!$D$228</f>
        <v>0</v>
      </c>
      <c r="D276" s="492">
        <f>'CB20'!$F$228</f>
        <v>0</v>
      </c>
      <c r="E276" s="492">
        <f>'CB20'!$H$228</f>
        <v>0</v>
      </c>
      <c r="F276" s="492">
        <f>'CB20'!$J$228</f>
        <v>0</v>
      </c>
    </row>
    <row r="277" spans="1:6">
      <c r="A277" s="11" t="str">
        <f>C1&amp;".e20.170104"</f>
        <v>Company Code.e20.170104</v>
      </c>
      <c r="B277" s="492">
        <f>'CB20'!$B$229</f>
        <v>0</v>
      </c>
      <c r="C277" s="492">
        <f>'CB20'!$D$229</f>
        <v>0</v>
      </c>
      <c r="D277" s="492">
        <f>'CB20'!$F$229</f>
        <v>0</v>
      </c>
      <c r="E277" s="492">
        <f>'CB20'!$H$229</f>
        <v>0</v>
      </c>
      <c r="F277" s="492">
        <f>'CB20'!$J$229</f>
        <v>0</v>
      </c>
    </row>
    <row r="278" spans="1:6">
      <c r="A278" s="11" t="str">
        <f>C1&amp;".e20.17010401"</f>
        <v>Company Code.e20.17010401</v>
      </c>
      <c r="B278" s="492">
        <f>'CB20'!$B$230</f>
        <v>0</v>
      </c>
      <c r="C278" s="492">
        <f>'CB20'!$D$230</f>
        <v>0</v>
      </c>
      <c r="D278" s="492">
        <f>'CB20'!$F$230</f>
        <v>0</v>
      </c>
      <c r="E278" s="492">
        <f>'CB20'!$H$230</f>
        <v>0</v>
      </c>
      <c r="F278" s="492">
        <f>'CB20'!$J$230</f>
        <v>0</v>
      </c>
    </row>
    <row r="279" spans="1:6">
      <c r="A279" s="11" t="str">
        <f>C1&amp;".e20.17010402"</f>
        <v>Company Code.e20.17010402</v>
      </c>
      <c r="B279" s="492">
        <f>'CB20'!$B$231</f>
        <v>0</v>
      </c>
      <c r="C279" s="492">
        <f>'CB20'!$D$231</f>
        <v>0</v>
      </c>
      <c r="D279" s="492">
        <f>'CB20'!$F$231</f>
        <v>0</v>
      </c>
      <c r="E279" s="492">
        <f>'CB20'!$H$231</f>
        <v>0</v>
      </c>
      <c r="F279" s="492">
        <f>'CB20'!$J$231</f>
        <v>0</v>
      </c>
    </row>
    <row r="280" spans="1:6">
      <c r="A280" s="11" t="str">
        <f>C1&amp;".e20.1702"</f>
        <v>Company Code.e20.1702</v>
      </c>
      <c r="B280" s="492">
        <f>'CB20'!$B$232</f>
        <v>0</v>
      </c>
      <c r="C280" s="492">
        <f>'CB20'!$D$232</f>
        <v>0</v>
      </c>
      <c r="D280" s="492">
        <f>'CB20'!$F$232</f>
        <v>0</v>
      </c>
      <c r="E280" s="492">
        <f>'CB20'!$H$232</f>
        <v>0</v>
      </c>
      <c r="F280" s="492">
        <f>'CB20'!$J$232</f>
        <v>0</v>
      </c>
    </row>
    <row r="281" spans="1:6">
      <c r="A281" s="11" t="str">
        <f>C1&amp;".e20.1703"</f>
        <v>Company Code.e20.1703</v>
      </c>
      <c r="B281" s="492">
        <f>'CB20'!$B$233</f>
        <v>0</v>
      </c>
      <c r="C281" s="492">
        <f>'CB20'!$D$233</f>
        <v>0</v>
      </c>
      <c r="D281" s="492">
        <f>'CB20'!$F$233</f>
        <v>0</v>
      </c>
      <c r="E281" s="492">
        <f>'CB20'!$H$233</f>
        <v>0</v>
      </c>
      <c r="F281" s="492">
        <f>'CB20'!$J$233</f>
        <v>0</v>
      </c>
    </row>
    <row r="282" spans="1:6">
      <c r="A282" s="11" t="str">
        <f>C1&amp;".e20.1704"</f>
        <v>Company Code.e20.1704</v>
      </c>
      <c r="B282" s="492">
        <f>'CB20'!$B$234</f>
        <v>0</v>
      </c>
      <c r="C282" s="492">
        <f>'CB20'!$D$234</f>
        <v>0</v>
      </c>
      <c r="D282" s="492">
        <f>'CB20'!$F$234</f>
        <v>0</v>
      </c>
      <c r="E282" s="492">
        <f>'CB20'!$H$234</f>
        <v>0</v>
      </c>
      <c r="F282" s="492">
        <f>'CB20'!$J$234</f>
        <v>0</v>
      </c>
    </row>
    <row r="283" spans="1:6">
      <c r="A283" s="11" t="str">
        <f>C1&amp;".e20.1705"</f>
        <v>Company Code.e20.1705</v>
      </c>
      <c r="B283" s="492">
        <f>'CB20'!$B$235</f>
        <v>0</v>
      </c>
      <c r="C283" s="492">
        <f>'CB20'!$D$235</f>
        <v>0</v>
      </c>
      <c r="D283" s="492">
        <f>'CB20'!$F$235</f>
        <v>0</v>
      </c>
      <c r="E283" s="492">
        <f>'CB20'!$H$235</f>
        <v>0</v>
      </c>
      <c r="F283" s="492">
        <f>'CB20'!$J$235</f>
        <v>0</v>
      </c>
    </row>
    <row r="284" spans="1:6">
      <c r="A284" s="11" t="str">
        <f>C1&amp;".e20.1706"</f>
        <v>Company Code.e20.1706</v>
      </c>
      <c r="B284" s="492">
        <f>'CB20'!$B$236</f>
        <v>0</v>
      </c>
      <c r="C284" s="492">
        <f>'CB20'!$D$236</f>
        <v>0</v>
      </c>
      <c r="D284" s="492">
        <f>'CB20'!$F$236</f>
        <v>0</v>
      </c>
      <c r="E284" s="492">
        <f>'CB20'!$H$236</f>
        <v>0</v>
      </c>
      <c r="F284" s="492">
        <f>'CB20'!$J$236</f>
        <v>0</v>
      </c>
    </row>
    <row r="285" spans="1:6">
      <c r="A285" s="11" t="str">
        <f>C1&amp;".e20.1707"</f>
        <v>Company Code.e20.1707</v>
      </c>
      <c r="B285" s="492">
        <f>'CB20'!$B$237</f>
        <v>0</v>
      </c>
      <c r="C285" s="492">
        <f>'CB20'!$D$237</f>
        <v>0</v>
      </c>
      <c r="D285" s="492">
        <f>'CB20'!$F$237</f>
        <v>0</v>
      </c>
      <c r="E285" s="492">
        <f>'CB20'!$H$237</f>
        <v>0</v>
      </c>
      <c r="F285" s="492">
        <f>'CB20'!$J$237</f>
        <v>0</v>
      </c>
    </row>
    <row r="286" spans="1:6">
      <c r="A286" s="11" t="str">
        <f>C1&amp;".e20.170701"</f>
        <v>Company Code.e20.170701</v>
      </c>
      <c r="B286" s="492">
        <f>'CB20'!$B$239</f>
        <v>0</v>
      </c>
      <c r="C286" s="492">
        <f>'CB20'!$D$239</f>
        <v>0</v>
      </c>
      <c r="D286" s="492">
        <f>'CB20'!$F$239</f>
        <v>0</v>
      </c>
      <c r="E286" s="492">
        <f>'CB20'!$H$239</f>
        <v>0</v>
      </c>
      <c r="F286" s="492">
        <f>'CB20'!$J$239</f>
        <v>0</v>
      </c>
    </row>
    <row r="287" spans="1:6">
      <c r="A287" s="11" t="str">
        <f>C1&amp;".e20.1708"</f>
        <v>Company Code.e20.1708</v>
      </c>
      <c r="B287" s="492">
        <f>'CB20'!$B$240</f>
        <v>0</v>
      </c>
      <c r="C287" s="492">
        <f>'CB20'!$D$240</f>
        <v>0</v>
      </c>
      <c r="D287" s="492">
        <f>'CB20'!$F$240</f>
        <v>0</v>
      </c>
      <c r="E287" s="492">
        <f>'CB20'!$H$240</f>
        <v>0</v>
      </c>
      <c r="F287" s="492">
        <f>'CB20'!$J$240</f>
        <v>0</v>
      </c>
    </row>
    <row r="288" spans="1:6">
      <c r="A288" s="11" t="str">
        <f>C1&amp;".e20.1710"</f>
        <v>Company Code.e20.1710</v>
      </c>
      <c r="B288" s="492">
        <f>'CB20'!$B$241</f>
        <v>0</v>
      </c>
      <c r="C288" s="492">
        <f>'CB20'!$D$241</f>
        <v>0</v>
      </c>
      <c r="D288" s="492">
        <f>'CB20'!$F$241</f>
        <v>0</v>
      </c>
      <c r="E288" s="492">
        <f>'CB20'!$H$241</f>
        <v>0</v>
      </c>
      <c r="F288" s="492">
        <f>'CB20'!$J$241</f>
        <v>0</v>
      </c>
    </row>
    <row r="289" spans="1:6">
      <c r="A289" s="11" t="str">
        <f>C1&amp;".e20.1711"</f>
        <v>Company Code.e20.1711</v>
      </c>
      <c r="B289" s="492">
        <f>'CB20'!$B$242</f>
        <v>0</v>
      </c>
      <c r="C289" s="492">
        <f>'CB20'!$D$242</f>
        <v>0</v>
      </c>
      <c r="D289" s="492">
        <f>'CB20'!$F$242</f>
        <v>0</v>
      </c>
      <c r="E289" s="492">
        <f>'CB20'!$H$242</f>
        <v>0</v>
      </c>
      <c r="F289" s="492">
        <f>'CB20'!$J$242</f>
        <v>0</v>
      </c>
    </row>
    <row r="290" spans="1:6">
      <c r="A290" s="11" t="str">
        <f>C1&amp;".e20.171101"</f>
        <v>Company Code.e20.171101</v>
      </c>
      <c r="B290" s="492">
        <f>'CB20'!$B$243</f>
        <v>0</v>
      </c>
      <c r="C290" s="492">
        <f>'CB20'!$D$243</f>
        <v>0</v>
      </c>
      <c r="D290" s="492">
        <f>'CB20'!$F$243</f>
        <v>0</v>
      </c>
      <c r="E290" s="492">
        <f>'CB20'!$H$243</f>
        <v>0</v>
      </c>
      <c r="F290" s="492">
        <f>'CB20'!$J$243</f>
        <v>0</v>
      </c>
    </row>
    <row r="291" spans="1:6">
      <c r="A291" s="11" t="str">
        <f>C1&amp;".e20.171102"</f>
        <v>Company Code.e20.171102</v>
      </c>
      <c r="B291" s="492">
        <f>'CB20'!$B$244</f>
        <v>0</v>
      </c>
      <c r="C291" s="492">
        <f>'CB20'!$D$244</f>
        <v>0</v>
      </c>
      <c r="D291" s="492">
        <f>'CB20'!$F$244</f>
        <v>0</v>
      </c>
      <c r="E291" s="492">
        <f>'CB20'!$H$244</f>
        <v>0</v>
      </c>
      <c r="F291" s="492">
        <f>'CB20'!$J$244</f>
        <v>0</v>
      </c>
    </row>
    <row r="292" spans="1:6">
      <c r="A292" s="11" t="str">
        <f>C1&amp;".e20.171103"</f>
        <v>Company Code.e20.171103</v>
      </c>
      <c r="B292" s="492">
        <f>'CB20'!$B$245</f>
        <v>0</v>
      </c>
      <c r="C292" s="492">
        <f>'CB20'!$D$245</f>
        <v>0</v>
      </c>
      <c r="D292" s="492">
        <f>'CB20'!$F$245</f>
        <v>0</v>
      </c>
      <c r="E292" s="492">
        <f>'CB20'!$H$245</f>
        <v>0</v>
      </c>
      <c r="F292" s="492">
        <f>'CB20'!$J$245</f>
        <v>0</v>
      </c>
    </row>
    <row r="293" spans="1:6">
      <c r="A293" s="11" t="str">
        <f>C1&amp;".e20.1712"</f>
        <v>Company Code.e20.1712</v>
      </c>
      <c r="B293" s="492">
        <f>'CB20'!$B$246</f>
        <v>0</v>
      </c>
      <c r="C293" s="492">
        <f>'CB20'!$D$246</f>
        <v>0</v>
      </c>
      <c r="D293" s="492">
        <f>'CB20'!$F$246</f>
        <v>0</v>
      </c>
      <c r="E293" s="492">
        <f>'CB20'!$H$246</f>
        <v>0</v>
      </c>
      <c r="F293" s="492">
        <f>'CB20'!$J$246</f>
        <v>0</v>
      </c>
    </row>
    <row r="294" spans="1:6">
      <c r="A294" s="11" t="str">
        <f>C1&amp;".e20.171201"</f>
        <v>Company Code.e20.171201</v>
      </c>
      <c r="B294" s="492">
        <f>'CB20'!$B$247</f>
        <v>0</v>
      </c>
      <c r="C294" s="492">
        <f>'CB20'!$D$247</f>
        <v>0</v>
      </c>
      <c r="D294" s="492">
        <f>'CB20'!$F$247</f>
        <v>0</v>
      </c>
      <c r="E294" s="492">
        <f>'CB20'!$H$247</f>
        <v>0</v>
      </c>
      <c r="F294" s="492">
        <f>'CB20'!$J$247</f>
        <v>0</v>
      </c>
    </row>
    <row r="295" spans="1:6">
      <c r="A295" s="11" t="str">
        <f>C1&amp;".e20.171202"</f>
        <v>Company Code.e20.171202</v>
      </c>
      <c r="B295" s="492">
        <f>'CB20'!$B$248</f>
        <v>0</v>
      </c>
      <c r="C295" s="492">
        <f>'CB20'!$D$248</f>
        <v>0</v>
      </c>
      <c r="D295" s="492">
        <f>'CB20'!$F$248</f>
        <v>0</v>
      </c>
      <c r="E295" s="492">
        <f>'CB20'!$H$248</f>
        <v>0</v>
      </c>
      <c r="F295" s="492">
        <f>'CB20'!$J$248</f>
        <v>0</v>
      </c>
    </row>
    <row r="296" spans="1:6">
      <c r="A296" s="11" t="str">
        <f>C1&amp;".e20.171203"</f>
        <v>Company Code.e20.171203</v>
      </c>
      <c r="B296" s="492">
        <f>'CB20'!$B$249</f>
        <v>0</v>
      </c>
      <c r="C296" s="492">
        <f>'CB20'!$D$249</f>
        <v>0</v>
      </c>
      <c r="D296" s="492">
        <f>'CB20'!$F$249</f>
        <v>0</v>
      </c>
      <c r="E296" s="492">
        <f>'CB20'!$H$249</f>
        <v>0</v>
      </c>
      <c r="F296" s="492">
        <f>'CB20'!$J$249</f>
        <v>0</v>
      </c>
    </row>
    <row r="297" spans="1:6">
      <c r="A297" s="11" t="str">
        <f>C1&amp;".e20.1713"</f>
        <v>Company Code.e20.1713</v>
      </c>
      <c r="B297" s="492">
        <f>'CB20'!$B$250</f>
        <v>0</v>
      </c>
      <c r="C297" s="492">
        <f>'CB20'!$D$250</f>
        <v>0</v>
      </c>
      <c r="D297" s="492">
        <f>'CB20'!$F$250</f>
        <v>0</v>
      </c>
      <c r="E297" s="492">
        <f>'CB20'!$H$250</f>
        <v>0</v>
      </c>
      <c r="F297" s="492">
        <f>'CB20'!$J$250</f>
        <v>0</v>
      </c>
    </row>
    <row r="298" spans="1:6">
      <c r="A298" s="11" t="str">
        <f>C1&amp;".e20.171301"</f>
        <v>Company Code.e20.171301</v>
      </c>
      <c r="B298" s="492">
        <f>'CB20'!$B$251</f>
        <v>0</v>
      </c>
      <c r="C298" s="492">
        <f>'CB20'!$D$251</f>
        <v>0</v>
      </c>
      <c r="D298" s="492">
        <f>'CB20'!$F$251</f>
        <v>0</v>
      </c>
      <c r="E298" s="492">
        <f>'CB20'!$H$251</f>
        <v>0</v>
      </c>
      <c r="F298" s="492">
        <f>'CB20'!$J$251</f>
        <v>0</v>
      </c>
    </row>
    <row r="299" spans="1:6">
      <c r="A299" s="11" t="str">
        <f>C1&amp;".e20.171302"</f>
        <v>Company Code.e20.171302</v>
      </c>
      <c r="B299" s="492">
        <f>'CB20'!$B$252</f>
        <v>0</v>
      </c>
      <c r="C299" s="492">
        <f>'CB20'!$D$252</f>
        <v>0</v>
      </c>
      <c r="D299" s="492">
        <f>'CB20'!$F$252</f>
        <v>0</v>
      </c>
      <c r="E299" s="492">
        <f>'CB20'!$H$252</f>
        <v>0</v>
      </c>
      <c r="F299" s="492">
        <f>'CB20'!$J$252</f>
        <v>0</v>
      </c>
    </row>
    <row r="300" spans="1:6">
      <c r="A300" s="11" t="str">
        <f>C1&amp;".e20.171303"</f>
        <v>Company Code.e20.171303</v>
      </c>
      <c r="B300" s="492">
        <f>'CB20'!$B$253</f>
        <v>0</v>
      </c>
      <c r="C300" s="492">
        <f>'CB20'!$D$253</f>
        <v>0</v>
      </c>
      <c r="D300" s="492">
        <f>'CB20'!$F$253</f>
        <v>0</v>
      </c>
      <c r="E300" s="492">
        <f>'CB20'!$H$253</f>
        <v>0</v>
      </c>
      <c r="F300" s="492">
        <f>'CB20'!$J$253</f>
        <v>0</v>
      </c>
    </row>
    <row r="301" spans="1:6">
      <c r="A301" s="11" t="str">
        <f>C1&amp;".e20.1714"</f>
        <v>Company Code.e20.1714</v>
      </c>
      <c r="B301" s="492">
        <f>'CB20'!$B$254</f>
        <v>0</v>
      </c>
      <c r="C301" s="492">
        <f>'CB20'!$D$254</f>
        <v>0</v>
      </c>
      <c r="D301" s="492">
        <f>'CB20'!$F$254</f>
        <v>0</v>
      </c>
      <c r="E301" s="492">
        <f>'CB20'!$H$254</f>
        <v>0</v>
      </c>
      <c r="F301" s="492">
        <f>'CB20'!$J$254</f>
        <v>0</v>
      </c>
    </row>
    <row r="302" spans="1:6">
      <c r="A302" s="11" t="str">
        <f>C1&amp;".e20.171401"</f>
        <v>Company Code.e20.171401</v>
      </c>
      <c r="B302" s="492">
        <f>'CB20'!$B$255</f>
        <v>0</v>
      </c>
      <c r="C302" s="492">
        <f>'CB20'!$D$255</f>
        <v>0</v>
      </c>
      <c r="D302" s="492">
        <f>'CB20'!$F$255</f>
        <v>0</v>
      </c>
      <c r="E302" s="492">
        <f>'CB20'!$H$255</f>
        <v>0</v>
      </c>
      <c r="F302" s="492">
        <f>'CB20'!$J$255</f>
        <v>0</v>
      </c>
    </row>
    <row r="303" spans="1:6">
      <c r="A303" s="11" t="str">
        <f>C1&amp;".e20.171402"</f>
        <v>Company Code.e20.171402</v>
      </c>
      <c r="B303" s="492">
        <f>'CB20'!$B$256</f>
        <v>0</v>
      </c>
      <c r="C303" s="492">
        <f>'CB20'!$D$256</f>
        <v>0</v>
      </c>
      <c r="D303" s="492">
        <f>'CB20'!$F$256</f>
        <v>0</v>
      </c>
      <c r="E303" s="492">
        <f>'CB20'!$H$256</f>
        <v>0</v>
      </c>
      <c r="F303" s="492">
        <f>'CB20'!$J$256</f>
        <v>0</v>
      </c>
    </row>
    <row r="304" spans="1:6">
      <c r="A304" s="11" t="str">
        <f>C1&amp;".e20.171403"</f>
        <v>Company Code.e20.171403</v>
      </c>
      <c r="B304" s="492">
        <f>'CB20'!$B$257</f>
        <v>0</v>
      </c>
      <c r="C304" s="492">
        <f>'CB20'!$D$257</f>
        <v>0</v>
      </c>
      <c r="D304" s="492">
        <f>'CB20'!$F$257</f>
        <v>0</v>
      </c>
      <c r="E304" s="492">
        <f>'CB20'!$H$257</f>
        <v>0</v>
      </c>
      <c r="F304" s="492">
        <f>'CB20'!$J$257</f>
        <v>0</v>
      </c>
    </row>
    <row r="305" spans="1:6">
      <c r="A305" s="11" t="str">
        <f>C1&amp;".e20.1715"</f>
        <v>Company Code.e20.1715</v>
      </c>
      <c r="B305" s="492">
        <f>'CB20'!$B$258</f>
        <v>0</v>
      </c>
      <c r="C305" s="492">
        <f>'CB20'!$D$258</f>
        <v>0</v>
      </c>
      <c r="D305" s="492">
        <f>'CB20'!$F$258</f>
        <v>0</v>
      </c>
      <c r="E305" s="492">
        <f>'CB20'!$H$258</f>
        <v>0</v>
      </c>
      <c r="F305" s="492">
        <f>'CB20'!$J$258</f>
        <v>0</v>
      </c>
    </row>
    <row r="306" spans="1:6">
      <c r="A306" s="11" t="str">
        <f>C1&amp;".e20.1716"</f>
        <v>Company Code.e20.1716</v>
      </c>
      <c r="B306" s="492">
        <f>'CB20'!$B$259</f>
        <v>0</v>
      </c>
      <c r="C306" s="492">
        <f>'CB20'!$D$259</f>
        <v>0</v>
      </c>
      <c r="D306" s="492">
        <f>'CB20'!$F$259</f>
        <v>0</v>
      </c>
      <c r="E306" s="492">
        <f>'CB20'!$H$259</f>
        <v>0</v>
      </c>
      <c r="F306" s="492">
        <f>'CB20'!$J$259</f>
        <v>0</v>
      </c>
    </row>
    <row r="307" spans="1:6">
      <c r="A307" s="11" t="str">
        <f>C1&amp;".e20.171601"</f>
        <v>Company Code.e20.171601</v>
      </c>
      <c r="B307" s="492">
        <f>'CB20'!$B$260</f>
        <v>0</v>
      </c>
      <c r="C307" s="492">
        <f>'CB20'!$D$260</f>
        <v>0</v>
      </c>
      <c r="D307" s="492">
        <f>'CB20'!$F$260</f>
        <v>0</v>
      </c>
      <c r="E307" s="492">
        <f>'CB20'!$H$260</f>
        <v>0</v>
      </c>
      <c r="F307" s="492">
        <f>'CB20'!$J$260</f>
        <v>0</v>
      </c>
    </row>
    <row r="308" spans="1:6">
      <c r="A308" s="11" t="str">
        <f>C1&amp;".e20.171602"</f>
        <v>Company Code.e20.171602</v>
      </c>
      <c r="B308" s="492">
        <f>'CB20'!$B$261</f>
        <v>0</v>
      </c>
      <c r="C308" s="492">
        <f>'CB20'!$D$261</f>
        <v>0</v>
      </c>
      <c r="D308" s="492">
        <f>'CB20'!$F$261</f>
        <v>0</v>
      </c>
      <c r="E308" s="492">
        <f>'CB20'!$H$261</f>
        <v>0</v>
      </c>
      <c r="F308" s="492">
        <f>'CB20'!$J$261</f>
        <v>0</v>
      </c>
    </row>
    <row r="309" spans="1:6">
      <c r="A309" s="11" t="str">
        <f>C1&amp;".e20.171603"</f>
        <v>Company Code.e20.171603</v>
      </c>
      <c r="B309" s="492">
        <f>'CB20'!$B$262</f>
        <v>0</v>
      </c>
      <c r="C309" s="492">
        <f>'CB20'!$D$262</f>
        <v>0</v>
      </c>
      <c r="D309" s="492">
        <f>'CB20'!$F$262</f>
        <v>0</v>
      </c>
      <c r="E309" s="492">
        <f>'CB20'!$H$262</f>
        <v>0</v>
      </c>
      <c r="F309" s="492">
        <f>'CB20'!$J$262</f>
        <v>0</v>
      </c>
    </row>
    <row r="310" spans="1:6">
      <c r="A310" s="11" t="str">
        <f>C1&amp;".e20.1709"</f>
        <v>Company Code.e20.1709</v>
      </c>
      <c r="B310" s="492">
        <f>'CB20'!$B$264</f>
        <v>0</v>
      </c>
      <c r="C310" s="492">
        <f>'CB20'!$D$264</f>
        <v>0</v>
      </c>
      <c r="D310" s="492">
        <f>'CB20'!$F$264</f>
        <v>0</v>
      </c>
      <c r="E310" s="492">
        <f>'CB20'!$H$264</f>
        <v>0</v>
      </c>
      <c r="F310" s="492">
        <f>'CB20'!$J$264</f>
        <v>0</v>
      </c>
    </row>
    <row r="311" spans="1:6">
      <c r="A311" s="11" t="str">
        <f>C1&amp;".e20.170901"</f>
        <v>Company Code.e20.170901</v>
      </c>
      <c r="B311" s="492">
        <f>'CB20'!$B$265</f>
        <v>0</v>
      </c>
      <c r="C311" s="492">
        <f>'CB20'!$D$265</f>
        <v>0</v>
      </c>
      <c r="D311" s="492">
        <f>'CB20'!$F$265</f>
        <v>0</v>
      </c>
      <c r="E311" s="492">
        <f>'CB20'!$H$265</f>
        <v>0</v>
      </c>
      <c r="F311" s="492">
        <f>'CB20'!$J$265</f>
        <v>0</v>
      </c>
    </row>
    <row r="312" spans="1:6">
      <c r="A312" s="11" t="str">
        <f>C1&amp;".e20.170902"</f>
        <v>Company Code.e20.170902</v>
      </c>
      <c r="B312" s="492">
        <f>'CB20'!$B$266</f>
        <v>0</v>
      </c>
      <c r="C312" s="492">
        <f>'CB20'!$D$266</f>
        <v>0</v>
      </c>
      <c r="D312" s="492">
        <f>'CB20'!$F$266</f>
        <v>0</v>
      </c>
      <c r="E312" s="492">
        <f>'CB20'!$H$266</f>
        <v>0</v>
      </c>
      <c r="F312" s="492">
        <f>'CB20'!$J$266</f>
        <v>0</v>
      </c>
    </row>
    <row r="313" spans="1:6">
      <c r="A313" s="11" t="str">
        <f>C1&amp;".e20.17"</f>
        <v>Company Code.e20.17</v>
      </c>
      <c r="B313" s="492">
        <f>'CB20'!$B$268</f>
        <v>0</v>
      </c>
      <c r="C313" s="492">
        <f>'CB20'!$D$268</f>
        <v>0</v>
      </c>
      <c r="D313" s="492">
        <f>'CB20'!$F$268</f>
        <v>0</v>
      </c>
      <c r="E313" s="492">
        <f>'CB20'!$H$268</f>
        <v>0</v>
      </c>
      <c r="F313" s="492">
        <f>'CB20'!$J$268</f>
        <v>0</v>
      </c>
    </row>
    <row r="314" spans="1:6">
      <c r="A314" s="11" t="str">
        <f>C1&amp;".e20.1801"</f>
        <v>Company Code.e20.1801</v>
      </c>
      <c r="B314" s="492">
        <f>'CB20'!$B$273</f>
        <v>0</v>
      </c>
      <c r="C314" s="492">
        <f>'CB20'!$D$273</f>
        <v>0</v>
      </c>
      <c r="D314" s="492">
        <f>'CB20'!$F$273</f>
        <v>0</v>
      </c>
      <c r="E314" s="492">
        <f>'CB20'!$H$273</f>
        <v>0</v>
      </c>
      <c r="F314" s="492">
        <f>'CB20'!$J$273</f>
        <v>0</v>
      </c>
    </row>
    <row r="315" spans="1:6">
      <c r="A315" s="11" t="str">
        <f>C1&amp;".e20.1802"</f>
        <v>Company Code.e20.1802</v>
      </c>
      <c r="B315" s="492">
        <f>'CB20'!$B$274</f>
        <v>0</v>
      </c>
      <c r="C315" s="492">
        <f>'CB20'!$D$274</f>
        <v>0</v>
      </c>
      <c r="D315" s="492">
        <f>'CB20'!$F$274</f>
        <v>0</v>
      </c>
      <c r="E315" s="492">
        <f>'CB20'!$H$274</f>
        <v>0</v>
      </c>
      <c r="F315" s="492">
        <f>'CB20'!$J$274</f>
        <v>0</v>
      </c>
    </row>
    <row r="316" spans="1:6">
      <c r="A316" s="11" t="str">
        <f>C1&amp;".e20.1803"</f>
        <v>Company Code.e20.1803</v>
      </c>
      <c r="B316" s="492">
        <f>'CB20'!$B$275</f>
        <v>0</v>
      </c>
      <c r="C316" s="492">
        <f>'CB20'!$D$275</f>
        <v>0</v>
      </c>
      <c r="D316" s="492">
        <f>'CB20'!$F$275</f>
        <v>0</v>
      </c>
      <c r="E316" s="492">
        <f>'CB20'!$H$275</f>
        <v>0</v>
      </c>
      <c r="F316" s="492">
        <f>'CB20'!$J$275</f>
        <v>0</v>
      </c>
    </row>
    <row r="317" spans="1:6">
      <c r="A317" s="11" t="str">
        <f>C1&amp;".e20.1809"</f>
        <v>Company Code.e20.1809</v>
      </c>
      <c r="B317" s="492">
        <f>'CB20'!$B$277</f>
        <v>0</v>
      </c>
      <c r="C317" s="492">
        <f>'CB20'!$D$277</f>
        <v>0</v>
      </c>
      <c r="D317" s="492">
        <f>'CB20'!$F$277</f>
        <v>0</v>
      </c>
      <c r="E317" s="492">
        <f>'CB20'!$H$277</f>
        <v>0</v>
      </c>
      <c r="F317" s="492">
        <f>'CB20'!$J$277</f>
        <v>0</v>
      </c>
    </row>
    <row r="318" spans="1:6">
      <c r="A318" s="11" t="str">
        <f>C1&amp;".e20.180901"</f>
        <v>Company Code.e20.180901</v>
      </c>
      <c r="B318" s="492">
        <f>'CB20'!$B$278</f>
        <v>0</v>
      </c>
      <c r="C318" s="492">
        <f>'CB20'!$D$278</f>
        <v>0</v>
      </c>
      <c r="D318" s="492">
        <f>'CB20'!$F$278</f>
        <v>0</v>
      </c>
      <c r="E318" s="492">
        <f>'CB20'!$H$278</f>
        <v>0</v>
      </c>
      <c r="F318" s="492">
        <f>'CB20'!$J$278</f>
        <v>0</v>
      </c>
    </row>
    <row r="319" spans="1:6">
      <c r="A319" s="11" t="str">
        <f>C1&amp;".e20.180902"</f>
        <v>Company Code.e20.180902</v>
      </c>
      <c r="B319" s="492">
        <f>'CB20'!$B$279</f>
        <v>0</v>
      </c>
      <c r="C319" s="492">
        <f>'CB20'!$D$279</f>
        <v>0</v>
      </c>
      <c r="D319" s="492">
        <f>'CB20'!$F$279</f>
        <v>0</v>
      </c>
      <c r="E319" s="492">
        <f>'CB20'!$H$279</f>
        <v>0</v>
      </c>
      <c r="F319" s="492">
        <f>'CB20'!$J$279</f>
        <v>0</v>
      </c>
    </row>
    <row r="320" spans="1:6">
      <c r="A320" s="11" t="str">
        <f>C1&amp;".e20.18"</f>
        <v>Company Code.e20.18</v>
      </c>
      <c r="B320" s="492">
        <f>'CB20'!$B$281</f>
        <v>0</v>
      </c>
      <c r="C320" s="492">
        <f>'CB20'!$D$281</f>
        <v>0</v>
      </c>
      <c r="D320" s="492">
        <f>'CB20'!$F$281</f>
        <v>0</v>
      </c>
      <c r="E320" s="492">
        <f>'CB20'!$H$281</f>
        <v>0</v>
      </c>
      <c r="F320" s="492">
        <f>'CB20'!$J$281</f>
        <v>0</v>
      </c>
    </row>
    <row r="321" spans="1:6">
      <c r="A321" s="11" t="str">
        <f>C1&amp;".e20.1901"</f>
        <v>Company Code.e20.1901</v>
      </c>
      <c r="B321" s="492">
        <f>'CB20'!$B$286</f>
        <v>0</v>
      </c>
      <c r="C321" s="492">
        <f>'CB20'!$D$286</f>
        <v>0</v>
      </c>
      <c r="D321" s="492">
        <f>'CB20'!$F$286</f>
        <v>0</v>
      </c>
      <c r="E321" s="492">
        <f>'CB20'!$H$286</f>
        <v>0</v>
      </c>
      <c r="F321" s="492">
        <f>'CB20'!$J$286</f>
        <v>0</v>
      </c>
    </row>
    <row r="322" spans="1:6">
      <c r="A322" s="11" t="str">
        <f>C1&amp;".e20.1903"</f>
        <v>Company Code.e20.1903</v>
      </c>
      <c r="B322" s="492">
        <f>'CB20'!$B$287</f>
        <v>0</v>
      </c>
      <c r="C322" s="492">
        <f>'CB20'!$D$287</f>
        <v>0</v>
      </c>
      <c r="D322" s="492">
        <f>'CB20'!$F$287</f>
        <v>0</v>
      </c>
      <c r="E322" s="492">
        <f>'CB20'!$H$287</f>
        <v>0</v>
      </c>
      <c r="F322" s="492">
        <f>'CB20'!$J$287</f>
        <v>0</v>
      </c>
    </row>
    <row r="323" spans="1:6">
      <c r="A323" s="11" t="str">
        <f>C1&amp;".e20.1904"</f>
        <v>Company Code.e20.1904</v>
      </c>
      <c r="B323" s="492">
        <f>'CB20'!$B$288</f>
        <v>0</v>
      </c>
      <c r="C323" s="492">
        <f>'CB20'!$D$288</f>
        <v>0</v>
      </c>
      <c r="D323" s="492">
        <f>'CB20'!$F$288</f>
        <v>0</v>
      </c>
      <c r="E323" s="492">
        <f>'CB20'!$H$288</f>
        <v>0</v>
      </c>
      <c r="F323" s="492">
        <f>'CB20'!$J$288</f>
        <v>0</v>
      </c>
    </row>
    <row r="324" spans="1:6">
      <c r="A324" s="11" t="str">
        <f>C1&amp;".e20.1905"</f>
        <v>Company Code.e20.1905</v>
      </c>
      <c r="B324" s="492">
        <f>'CB20'!$B$289</f>
        <v>0</v>
      </c>
      <c r="C324" s="492">
        <f>'CB20'!$D$289</f>
        <v>0</v>
      </c>
      <c r="D324" s="492">
        <f>'CB20'!$F$289</f>
        <v>0</v>
      </c>
      <c r="E324" s="492">
        <f>'CB20'!$H$289</f>
        <v>0</v>
      </c>
      <c r="F324" s="492">
        <f>'CB20'!$J$289</f>
        <v>0</v>
      </c>
    </row>
    <row r="325" spans="1:6">
      <c r="A325" s="11" t="str">
        <f>C1&amp;".e20.1909"</f>
        <v>Company Code.e20.1909</v>
      </c>
      <c r="B325" s="492">
        <f>'CB20'!$B$290</f>
        <v>0</v>
      </c>
      <c r="C325" s="492">
        <f>'CB20'!$D$290</f>
        <v>0</v>
      </c>
      <c r="D325" s="492">
        <f>'CB20'!$F$290</f>
        <v>0</v>
      </c>
      <c r="E325" s="492">
        <f>'CB20'!$H$290</f>
        <v>0</v>
      </c>
      <c r="F325" s="492">
        <f>'CB20'!$J$290</f>
        <v>0</v>
      </c>
    </row>
    <row r="326" spans="1:6">
      <c r="A326" s="11" t="str">
        <f>C1&amp;".e20.190901"</f>
        <v>Company Code.e20.190901</v>
      </c>
      <c r="B326" s="492">
        <f>'CB20'!$B$291</f>
        <v>0</v>
      </c>
      <c r="C326" s="492">
        <f>'CB20'!$D$291</f>
        <v>0</v>
      </c>
      <c r="D326" s="492">
        <f>'CB20'!$F$291</f>
        <v>0</v>
      </c>
      <c r="E326" s="492">
        <f>'CB20'!$H$291</f>
        <v>0</v>
      </c>
      <c r="F326" s="492">
        <f>'CB20'!$J$291</f>
        <v>0</v>
      </c>
    </row>
    <row r="327" spans="1:6">
      <c r="A327" s="11" t="str">
        <f>C1&amp;".e20.190902"</f>
        <v>Company Code.e20.190902</v>
      </c>
      <c r="B327" s="492">
        <f>'CB20'!$B$292</f>
        <v>0</v>
      </c>
      <c r="C327" s="492">
        <f>'CB20'!$D$292</f>
        <v>0</v>
      </c>
      <c r="D327" s="492">
        <f>'CB20'!$F$292</f>
        <v>0</v>
      </c>
      <c r="E327" s="492">
        <f>'CB20'!$H$292</f>
        <v>0</v>
      </c>
      <c r="F327" s="492">
        <f>'CB20'!$J$292</f>
        <v>0</v>
      </c>
    </row>
    <row r="328" spans="1:6">
      <c r="A328" s="11" t="str">
        <f>C1&amp;".e20.190903"</f>
        <v>Company Code.e20.190903</v>
      </c>
      <c r="B328" s="492">
        <f>'CB20'!$B$293</f>
        <v>0</v>
      </c>
      <c r="C328" s="492">
        <f>'CB20'!$D$293</f>
        <v>0</v>
      </c>
      <c r="D328" s="492">
        <f>'CB20'!$F$293</f>
        <v>0</v>
      </c>
      <c r="E328" s="492">
        <f>'CB20'!$H$293</f>
        <v>0</v>
      </c>
      <c r="F328" s="492">
        <f>'CB20'!$J$293</f>
        <v>0</v>
      </c>
    </row>
    <row r="329" spans="1:6">
      <c r="A329" s="11" t="s">
        <v>651</v>
      </c>
    </row>
    <row r="330" spans="1:6">
      <c r="A330" s="11" t="str">
        <f>C1&amp;".e20.190903_1.name"</f>
        <v>Company Code.e20.190903_1.name</v>
      </c>
      <c r="B330" s="492">
        <f>'CB20'!$A$294</f>
        <v>0</v>
      </c>
    </row>
    <row r="331" spans="1:6">
      <c r="A331" s="11" t="str">
        <f>C1&amp;".e20.190903_1.all"</f>
        <v>Company Code.e20.190903_1.all</v>
      </c>
      <c r="B331" s="492">
        <f>'CB20'!$B$294</f>
        <v>0</v>
      </c>
    </row>
    <row r="332" spans="1:6">
      <c r="A332" s="11" t="str">
        <f>C1&amp;".e20.190903_1.r.tt"</f>
        <v>Company Code.e20.190903_1.r.tt</v>
      </c>
      <c r="B332" s="492">
        <f>'CB20'!$D$294</f>
        <v>0</v>
      </c>
    </row>
    <row r="333" spans="1:6">
      <c r="A333" s="11" t="str">
        <f>C1&amp;".e20.190903_1.r.for"</f>
        <v>Company Code.e20.190903_1.r.for</v>
      </c>
      <c r="B333" s="492">
        <f>'CB20'!$F$294</f>
        <v>0</v>
      </c>
    </row>
    <row r="334" spans="1:6">
      <c r="A334" s="11" t="str">
        <f>C1&amp;".e20.190903_1.nr.tt"</f>
        <v>Company Code.e20.190903_1.nr.tt</v>
      </c>
      <c r="B334" s="492">
        <f>'CB20'!$H$294</f>
        <v>0</v>
      </c>
    </row>
    <row r="335" spans="1:6">
      <c r="A335" s="11" t="str">
        <f>C1&amp;".e20.190903_1.nr.for"</f>
        <v>Company Code.e20.190903_1.nr.for</v>
      </c>
      <c r="B335" s="492">
        <f>'CB20'!$J$294</f>
        <v>0</v>
      </c>
    </row>
    <row r="336" spans="1:6">
      <c r="A336" s="11" t="str">
        <f>C1&amp;".e20.190903_2.name"</f>
        <v>Company Code.e20.190903_2.name</v>
      </c>
      <c r="B336" s="492">
        <f>'CB20'!$A$295</f>
        <v>0</v>
      </c>
    </row>
    <row r="337" spans="1:2">
      <c r="A337" s="11" t="str">
        <f>C1&amp;".e20.190903_2.all"</f>
        <v>Company Code.e20.190903_2.all</v>
      </c>
      <c r="B337" s="492">
        <f>'CB20'!$B$295</f>
        <v>0</v>
      </c>
    </row>
    <row r="338" spans="1:2">
      <c r="A338" s="11" t="str">
        <f>C1&amp;".e20.190903_2.r.tt"</f>
        <v>Company Code.e20.190903_2.r.tt</v>
      </c>
      <c r="B338" s="492">
        <f>'CB20'!$D$295</f>
        <v>0</v>
      </c>
    </row>
    <row r="339" spans="1:2">
      <c r="A339" s="11" t="str">
        <f>C1&amp;".e20.190903_2.r.for"</f>
        <v>Company Code.e20.190903_2.r.for</v>
      </c>
      <c r="B339" s="492">
        <f>'CB20'!$F$295</f>
        <v>0</v>
      </c>
    </row>
    <row r="340" spans="1:2">
      <c r="A340" s="11" t="str">
        <f>C1&amp;".e20.190903_2.nr.tt"</f>
        <v>Company Code.e20.190903_2.nr.tt</v>
      </c>
      <c r="B340" s="492">
        <f>'CB20'!$H$295</f>
        <v>0</v>
      </c>
    </row>
    <row r="341" spans="1:2">
      <c r="A341" s="11" t="str">
        <f>C1&amp;".e20.190903_2.nr.for"</f>
        <v>Company Code.e20.190903_2.nr.for</v>
      </c>
      <c r="B341" s="492">
        <f>'CB20'!$J$295</f>
        <v>0</v>
      </c>
    </row>
    <row r="342" spans="1:2">
      <c r="A342" s="11" t="str">
        <f>C1&amp;".e20.190903_3.name"</f>
        <v>Company Code.e20.190903_3.name</v>
      </c>
      <c r="B342" s="492">
        <f>'CB20'!$A$296</f>
        <v>0</v>
      </c>
    </row>
    <row r="343" spans="1:2">
      <c r="A343" s="11" t="str">
        <f>C1&amp;".e20.190903_3.all"</f>
        <v>Company Code.e20.190903_3.all</v>
      </c>
      <c r="B343" s="492">
        <f>'CB20'!$B$296</f>
        <v>0</v>
      </c>
    </row>
    <row r="344" spans="1:2">
      <c r="A344" s="11" t="str">
        <f>C1&amp;".e20.190903_3.r.tt"</f>
        <v>Company Code.e20.190903_3.r.tt</v>
      </c>
      <c r="B344" s="492">
        <f>'CB20'!$D$296</f>
        <v>0</v>
      </c>
    </row>
    <row r="345" spans="1:2">
      <c r="A345" s="11" t="str">
        <f>C1&amp;".e20.190903_3.r.for"</f>
        <v>Company Code.e20.190903_3.r.for</v>
      </c>
      <c r="B345" s="492">
        <f>'CB20'!$F$296</f>
        <v>0</v>
      </c>
    </row>
    <row r="346" spans="1:2">
      <c r="A346" s="11" t="str">
        <f>C1&amp;".e20.190903_3.nr.tt"</f>
        <v>Company Code.e20.190903_3.nr.tt</v>
      </c>
      <c r="B346" s="492">
        <f>'CB20'!$H$296</f>
        <v>0</v>
      </c>
    </row>
    <row r="347" spans="1:2">
      <c r="A347" s="11" t="str">
        <f>C1&amp;".e20.190903_3.nr.for"</f>
        <v>Company Code.e20.190903_3.nr.for</v>
      </c>
      <c r="B347" s="492">
        <f>'CB20'!$J$296</f>
        <v>0</v>
      </c>
    </row>
    <row r="348" spans="1:2">
      <c r="A348" s="11" t="str">
        <f>C1&amp;".e20.190903_4.name"</f>
        <v>Company Code.e20.190903_4.name</v>
      </c>
      <c r="B348" s="492">
        <f>'CB20'!$A$297</f>
        <v>0</v>
      </c>
    </row>
    <row r="349" spans="1:2">
      <c r="A349" s="11" t="str">
        <f>C1&amp;".e20.190903_4.all"</f>
        <v>Company Code.e20.190903_4.all</v>
      </c>
      <c r="B349" s="492">
        <f>'CB20'!$B$297</f>
        <v>0</v>
      </c>
    </row>
    <row r="350" spans="1:2">
      <c r="A350" s="11" t="str">
        <f>C1&amp;".e20.190903_4.r.tt"</f>
        <v>Company Code.e20.190903_4.r.tt</v>
      </c>
      <c r="B350" s="492">
        <f>'CB20'!$D$297</f>
        <v>0</v>
      </c>
    </row>
    <row r="351" spans="1:2">
      <c r="A351" s="11" t="str">
        <f>C1&amp;".e20.190903_4.r.for"</f>
        <v>Company Code.e20.190903_4.r.for</v>
      </c>
      <c r="B351" s="492">
        <f>'CB20'!$F$297</f>
        <v>0</v>
      </c>
    </row>
    <row r="352" spans="1:2">
      <c r="A352" s="11" t="str">
        <f>C1&amp;".e20.190903_4.nr.tt"</f>
        <v>Company Code.e20.190903_4.nr.tt</v>
      </c>
      <c r="B352" s="492">
        <f>'CB20'!$H$297</f>
        <v>0</v>
      </c>
    </row>
    <row r="353" spans="1:2">
      <c r="A353" s="11" t="str">
        <f>C1&amp;".e20.190903_4.nr.for"</f>
        <v>Company Code.e20.190903_4.nr.for</v>
      </c>
      <c r="B353" s="492">
        <f>'CB20'!$J$297</f>
        <v>0</v>
      </c>
    </row>
    <row r="354" spans="1:2">
      <c r="A354" s="11" t="str">
        <f>C1&amp;".e20.190903_5.name"</f>
        <v>Company Code.e20.190903_5.name</v>
      </c>
      <c r="B354" s="492">
        <f>'CB20'!$A$298</f>
        <v>0</v>
      </c>
    </row>
    <row r="355" spans="1:2">
      <c r="A355" s="11" t="str">
        <f>C1&amp;".e20.190903_5.all"</f>
        <v>Company Code.e20.190903_5.all</v>
      </c>
      <c r="B355" s="492">
        <f>'CB20'!$B$298</f>
        <v>0</v>
      </c>
    </row>
    <row r="356" spans="1:2">
      <c r="A356" s="11" t="str">
        <f>C1&amp;".e20.190903_5.r.tt"</f>
        <v>Company Code.e20.190903_5.r.tt</v>
      </c>
      <c r="B356" s="492">
        <f>'CB20'!$D$298</f>
        <v>0</v>
      </c>
    </row>
    <row r="357" spans="1:2">
      <c r="A357" s="11" t="str">
        <f>C1&amp;".e20.190903_5.r.for"</f>
        <v>Company Code.e20.190903_5.r.for</v>
      </c>
      <c r="B357" s="492">
        <f>'CB20'!$F$298</f>
        <v>0</v>
      </c>
    </row>
    <row r="358" spans="1:2">
      <c r="A358" s="11" t="str">
        <f>C1&amp;".e20.190903_5.nr.tt"</f>
        <v>Company Code.e20.190903_5.nr.tt</v>
      </c>
      <c r="B358" s="492">
        <f>'CB20'!$H$298</f>
        <v>0</v>
      </c>
    </row>
    <row r="359" spans="1:2">
      <c r="A359" s="11" t="str">
        <f>C1&amp;".e20.190903_5.nr.for"</f>
        <v>Company Code.e20.190903_5.nr.for</v>
      </c>
      <c r="B359" s="492">
        <f>'CB20'!$J$298</f>
        <v>0</v>
      </c>
    </row>
    <row r="360" spans="1:2">
      <c r="A360" s="11" t="str">
        <f>C1&amp;".e20.190903_6.name"</f>
        <v>Company Code.e20.190903_6.name</v>
      </c>
      <c r="B360" s="492">
        <f>'CB20'!$A$299</f>
        <v>0</v>
      </c>
    </row>
    <row r="361" spans="1:2">
      <c r="A361" s="11" t="str">
        <f>C1&amp;".e20.190903_6.all"</f>
        <v>Company Code.e20.190903_6.all</v>
      </c>
      <c r="B361" s="492">
        <f>'CB20'!$B$299</f>
        <v>0</v>
      </c>
    </row>
    <row r="362" spans="1:2">
      <c r="A362" s="11" t="str">
        <f>C1&amp;".e20.190903_6.r.tt"</f>
        <v>Company Code.e20.190903_6.r.tt</v>
      </c>
      <c r="B362" s="492">
        <f>'CB20'!$D$299</f>
        <v>0</v>
      </c>
    </row>
    <row r="363" spans="1:2">
      <c r="A363" s="11" t="str">
        <f>C1&amp;".e20.190903_6.r.for"</f>
        <v>Company Code.e20.190903_6.r.for</v>
      </c>
      <c r="B363" s="492">
        <f>'CB20'!$F$299</f>
        <v>0</v>
      </c>
    </row>
    <row r="364" spans="1:2">
      <c r="A364" s="11" t="str">
        <f>C1&amp;".e20.190903_6.nr.tt"</f>
        <v>Company Code.e20.190903_6.nr.tt</v>
      </c>
      <c r="B364" s="492">
        <f>'CB20'!$H$299</f>
        <v>0</v>
      </c>
    </row>
    <row r="365" spans="1:2">
      <c r="A365" s="11" t="str">
        <f>C1&amp;".e20.190903_6.nr.for"</f>
        <v>Company Code.e20.190903_6.nr.for</v>
      </c>
      <c r="B365" s="492">
        <f>'CB20'!$J$299</f>
        <v>0</v>
      </c>
    </row>
    <row r="366" spans="1:2">
      <c r="A366" s="11" t="str">
        <f>C1&amp;".e20.190903_7.name"</f>
        <v>Company Code.e20.190903_7.name</v>
      </c>
      <c r="B366" s="492">
        <f>'CB20'!$A$300</f>
        <v>0</v>
      </c>
    </row>
    <row r="367" spans="1:2">
      <c r="A367" s="11" t="str">
        <f>C1&amp;".e20.190903_7.all"</f>
        <v>Company Code.e20.190903_7.all</v>
      </c>
      <c r="B367" s="492">
        <f>'CB20'!$B$300</f>
        <v>0</v>
      </c>
    </row>
    <row r="368" spans="1:2">
      <c r="A368" s="11" t="str">
        <f>C1&amp;".e20.190903_7.r.tt"</f>
        <v>Company Code.e20.190903_7.r.tt</v>
      </c>
      <c r="B368" s="492">
        <f>'CB20'!$D$300</f>
        <v>0</v>
      </c>
    </row>
    <row r="369" spans="1:6">
      <c r="A369" s="11" t="str">
        <f>C1&amp;".e20.190903_7.r.for"</f>
        <v>Company Code.e20.190903_7.r.for</v>
      </c>
      <c r="B369" s="492">
        <f>'CB20'!$F$300</f>
        <v>0</v>
      </c>
    </row>
    <row r="370" spans="1:6">
      <c r="A370" s="11" t="str">
        <f>C1&amp;".e20.190903_7.nr.tt"</f>
        <v>Company Code.e20.190903_7.nr.tt</v>
      </c>
      <c r="B370" s="492">
        <f>'CB20'!$H$300</f>
        <v>0</v>
      </c>
    </row>
    <row r="371" spans="1:6">
      <c r="A371" s="11" t="str">
        <f>C1&amp;".e20.190903_7.nr.for"</f>
        <v>Company Code.e20.190903_7.nr.for</v>
      </c>
      <c r="B371" s="492">
        <f>'CB20'!$J$300</f>
        <v>0</v>
      </c>
    </row>
    <row r="372" spans="1:6">
      <c r="A372" s="11" t="s">
        <v>652</v>
      </c>
      <c r="B372" s="493" t="s">
        <v>642</v>
      </c>
      <c r="C372" s="494" t="s">
        <v>643</v>
      </c>
      <c r="D372" s="494" t="s">
        <v>644</v>
      </c>
      <c r="E372" s="494" t="s">
        <v>645</v>
      </c>
      <c r="F372" s="494" t="s">
        <v>646</v>
      </c>
    </row>
    <row r="373" spans="1:6">
      <c r="A373" s="11" t="str">
        <f>C1&amp;".e20.19"</f>
        <v>Company Code.e20.19</v>
      </c>
      <c r="B373" s="492">
        <f>'CB20'!$B$302</f>
        <v>0</v>
      </c>
      <c r="C373" s="492">
        <f>'CB20'!$D$302</f>
        <v>0</v>
      </c>
      <c r="D373" s="492">
        <f>'CB20'!$F$302</f>
        <v>0</v>
      </c>
      <c r="E373" s="492">
        <f>'CB20'!$H$302</f>
        <v>0</v>
      </c>
      <c r="F373" s="492">
        <f>'CB20'!$J$302</f>
        <v>0</v>
      </c>
    </row>
    <row r="374" spans="1:6">
      <c r="A374" s="11" t="str">
        <f>C1&amp;".e20.21001"</f>
        <v>Company Code.e20.21001</v>
      </c>
      <c r="B374" s="492">
        <f>'CB20'!$B$307</f>
        <v>0</v>
      </c>
      <c r="C374" s="492">
        <f>'CB20'!$D$307</f>
        <v>0</v>
      </c>
      <c r="D374" s="492">
        <f>'CB20'!$F$307</f>
        <v>0</v>
      </c>
      <c r="E374" s="492">
        <f>'CB20'!$H$307</f>
        <v>0</v>
      </c>
      <c r="F374" s="492">
        <f>'CB20'!$J$307</f>
        <v>0</v>
      </c>
    </row>
    <row r="375" spans="1:6">
      <c r="A375" s="11" t="str">
        <f>C1&amp;".e20.2100101"</f>
        <v>Company Code.e20.2100101</v>
      </c>
      <c r="B375" s="492">
        <f>'CB20'!$B$308</f>
        <v>0</v>
      </c>
      <c r="C375" s="492">
        <f>'CB20'!$D$308</f>
        <v>0</v>
      </c>
      <c r="D375" s="492">
        <f>'CB20'!$F$308</f>
        <v>0</v>
      </c>
      <c r="E375" s="492">
        <f>'CB20'!$H$308</f>
        <v>0</v>
      </c>
      <c r="F375" s="492">
        <f>'CB20'!$J$308</f>
        <v>0</v>
      </c>
    </row>
    <row r="376" spans="1:6">
      <c r="A376" s="11" t="str">
        <f>C1&amp;".e20.2100102"</f>
        <v>Company Code.e20.2100102</v>
      </c>
      <c r="B376" s="492">
        <f>'CB20'!$B$309</f>
        <v>0</v>
      </c>
      <c r="C376" s="492">
        <f>'CB20'!$D$309</f>
        <v>0</v>
      </c>
      <c r="D376" s="492">
        <f>'CB20'!$F$309</f>
        <v>0</v>
      </c>
      <c r="E376" s="492">
        <f>'CB20'!$H$309</f>
        <v>0</v>
      </c>
      <c r="F376" s="492">
        <f>'CB20'!$J$309</f>
        <v>0</v>
      </c>
    </row>
    <row r="377" spans="1:6">
      <c r="A377" s="11" t="str">
        <f>C1&amp;".e20.2100103"</f>
        <v>Company Code.e20.2100103</v>
      </c>
      <c r="B377" s="492">
        <f>'CB20'!$B$310</f>
        <v>0</v>
      </c>
      <c r="C377" s="492">
        <f>'CB20'!$D$310</f>
        <v>0</v>
      </c>
      <c r="D377" s="492">
        <f>'CB20'!$F$310</f>
        <v>0</v>
      </c>
      <c r="E377" s="492">
        <f>'CB20'!$H$310</f>
        <v>0</v>
      </c>
      <c r="F377" s="492">
        <f>'CB20'!$J$310</f>
        <v>0</v>
      </c>
    </row>
    <row r="378" spans="1:6">
      <c r="A378" s="11" t="str">
        <f>C1&amp;".e20.2100104"</f>
        <v>Company Code.e20.2100104</v>
      </c>
      <c r="B378" s="492">
        <f>'CB20'!$B$311</f>
        <v>0</v>
      </c>
      <c r="C378" s="492">
        <f>'CB20'!$D$311</f>
        <v>0</v>
      </c>
      <c r="D378" s="492">
        <f>'CB20'!$F$311</f>
        <v>0</v>
      </c>
      <c r="E378" s="492">
        <f>'CB20'!$H$311</f>
        <v>0</v>
      </c>
      <c r="F378" s="492">
        <f>'CB20'!$J$311</f>
        <v>0</v>
      </c>
    </row>
    <row r="379" spans="1:6">
      <c r="A379" s="11" t="str">
        <f>C1&amp;".e20.2100105"</f>
        <v>Company Code.e20.2100105</v>
      </c>
      <c r="B379" s="492">
        <f>'CB20'!$B$312</f>
        <v>0</v>
      </c>
      <c r="C379" s="492">
        <f>'CB20'!$D$312</f>
        <v>0</v>
      </c>
      <c r="D379" s="492">
        <f>'CB20'!$F$312</f>
        <v>0</v>
      </c>
      <c r="E379" s="492">
        <f>'CB20'!$H$312</f>
        <v>0</v>
      </c>
      <c r="F379" s="492">
        <f>'CB20'!$J$312</f>
        <v>0</v>
      </c>
    </row>
    <row r="380" spans="1:6">
      <c r="A380" s="11" t="str">
        <f>C1&amp;".e20.2100106"</f>
        <v>Company Code.e20.2100106</v>
      </c>
      <c r="B380" s="492">
        <f>'CB20'!$B$313</f>
        <v>0</v>
      </c>
      <c r="C380" s="492">
        <f>'CB20'!$D$313</f>
        <v>0</v>
      </c>
      <c r="D380" s="492">
        <f>'CB20'!$F$313</f>
        <v>0</v>
      </c>
      <c r="E380" s="492">
        <f>'CB20'!$H$313</f>
        <v>0</v>
      </c>
      <c r="F380" s="492">
        <f>'CB20'!$J$313</f>
        <v>0</v>
      </c>
    </row>
    <row r="381" spans="1:6">
      <c r="A381" s="11" t="str">
        <f>C1&amp;".e20.2100116"</f>
        <v>Company Code.e20.2100116</v>
      </c>
      <c r="B381" s="492">
        <f>'CB20'!$B$314</f>
        <v>0</v>
      </c>
      <c r="C381" s="492">
        <f>'CB20'!$D$314</f>
        <v>0</v>
      </c>
      <c r="D381" s="492">
        <f>'CB20'!$F$314</f>
        <v>0</v>
      </c>
      <c r="E381" s="492">
        <f>'CB20'!$H$314</f>
        <v>0</v>
      </c>
      <c r="F381" s="492">
        <f>'CB20'!$J$314</f>
        <v>0</v>
      </c>
    </row>
    <row r="382" spans="1:6">
      <c r="A382" s="11" t="str">
        <f>C1&amp;".e20.210011601"</f>
        <v>Company Code.e20.210011601</v>
      </c>
      <c r="B382" s="492">
        <f>'CB20'!$B$315</f>
        <v>0</v>
      </c>
      <c r="C382" s="492">
        <f>'CB20'!$D$315</f>
        <v>0</v>
      </c>
      <c r="D382" s="492">
        <f>'CB20'!$F$315</f>
        <v>0</v>
      </c>
      <c r="E382" s="492">
        <f>'CB20'!$H$315</f>
        <v>0</v>
      </c>
      <c r="F382" s="492">
        <f>'CB20'!$J$315</f>
        <v>0</v>
      </c>
    </row>
    <row r="383" spans="1:6">
      <c r="A383" s="11" t="str">
        <f>C1&amp;".e20.210011602"</f>
        <v>Company Code.e20.210011602</v>
      </c>
      <c r="B383" s="492">
        <f>'CB20'!$B$316</f>
        <v>0</v>
      </c>
      <c r="C383" s="492">
        <f>'CB20'!$D$316</f>
        <v>0</v>
      </c>
      <c r="D383" s="492">
        <f>'CB20'!$F$316</f>
        <v>0</v>
      </c>
      <c r="E383" s="492">
        <f>'CB20'!$H$316</f>
        <v>0</v>
      </c>
      <c r="F383" s="492">
        <f>'CB20'!$J$316</f>
        <v>0</v>
      </c>
    </row>
    <row r="384" spans="1:6">
      <c r="A384" s="11" t="str">
        <f>C1&amp;".e20.2100107"</f>
        <v>Company Code.e20.2100107</v>
      </c>
      <c r="B384" s="765">
        <f>'CB20'!$B$317</f>
        <v>0</v>
      </c>
      <c r="C384" s="765">
        <f>'CB20'!$D$317</f>
        <v>0</v>
      </c>
      <c r="D384" s="765">
        <f>'CB20'!$F$317</f>
        <v>0</v>
      </c>
      <c r="E384" s="765">
        <f>'CB20'!$H$317</f>
        <v>0</v>
      </c>
      <c r="F384" s="765">
        <f>'CB20'!$J$317</f>
        <v>0</v>
      </c>
    </row>
    <row r="385" spans="1:6">
      <c r="A385" s="11" t="str">
        <f>C1&amp;".e20.2100108"</f>
        <v>Company Code.e20.2100108</v>
      </c>
      <c r="B385" s="765">
        <f>'CB20'!$B$318</f>
        <v>0</v>
      </c>
      <c r="C385" s="765">
        <f>'CB20'!$D$318</f>
        <v>0</v>
      </c>
      <c r="D385" s="765">
        <f>'CB20'!$F$318</f>
        <v>0</v>
      </c>
      <c r="E385" s="765">
        <f>'CB20'!$H$318</f>
        <v>0</v>
      </c>
      <c r="F385" s="765">
        <f>'CB20'!$J$318</f>
        <v>0</v>
      </c>
    </row>
    <row r="386" spans="1:6">
      <c r="A386" s="11" t="str">
        <f>C1&amp;".e20.2100109"</f>
        <v>Company Code.e20.2100109</v>
      </c>
      <c r="B386" s="765">
        <f>'CB20'!$B$319</f>
        <v>0</v>
      </c>
      <c r="C386" s="765">
        <f>'CB20'!$D$319</f>
        <v>0</v>
      </c>
      <c r="D386" s="765">
        <f>'CB20'!$F$319</f>
        <v>0</v>
      </c>
      <c r="E386" s="765">
        <f>'CB20'!$H$319</f>
        <v>0</v>
      </c>
      <c r="F386" s="765">
        <f>'CB20'!$J$319</f>
        <v>0</v>
      </c>
    </row>
    <row r="387" spans="1:6">
      <c r="A387" s="11" t="str">
        <f>C1&amp;".e20.2100110"</f>
        <v>Company Code.e20.2100110</v>
      </c>
      <c r="B387" s="765">
        <f>'CB20'!$B$320</f>
        <v>0</v>
      </c>
      <c r="C387" s="765">
        <f>'CB20'!$D$320</f>
        <v>0</v>
      </c>
      <c r="D387" s="765">
        <f>'CB20'!$F$320</f>
        <v>0</v>
      </c>
      <c r="E387" s="765">
        <f>'CB20'!$H$320</f>
        <v>0</v>
      </c>
      <c r="F387" s="765">
        <f>'CB20'!$J$320</f>
        <v>0</v>
      </c>
    </row>
    <row r="388" spans="1:6">
      <c r="A388" s="11" t="str">
        <f>C1&amp;".e20.2100111"</f>
        <v>Company Code.e20.2100111</v>
      </c>
      <c r="B388" s="765">
        <f>'CB20'!$B$321</f>
        <v>0</v>
      </c>
      <c r="C388" s="765">
        <f>'CB20'!$D$321</f>
        <v>0</v>
      </c>
      <c r="D388" s="765">
        <f>'CB20'!$F$321</f>
        <v>0</v>
      </c>
      <c r="E388" s="765">
        <f>'CB20'!$H$321</f>
        <v>0</v>
      </c>
      <c r="F388" s="765">
        <f>'CB20'!$J$321</f>
        <v>0</v>
      </c>
    </row>
    <row r="389" spans="1:6">
      <c r="A389" s="11" t="str">
        <f>C1&amp;".e20.2100112"</f>
        <v>Company Code.e20.2100112</v>
      </c>
      <c r="B389" s="765">
        <f>'CB20'!$B$322</f>
        <v>0</v>
      </c>
      <c r="C389" s="765">
        <f>'CB20'!$D$322</f>
        <v>0</v>
      </c>
      <c r="D389" s="765">
        <f>'CB20'!$F$322</f>
        <v>0</v>
      </c>
      <c r="E389" s="765">
        <f>'CB20'!$H$322</f>
        <v>0</v>
      </c>
      <c r="F389" s="765">
        <f>'CB20'!$J$322</f>
        <v>0</v>
      </c>
    </row>
    <row r="390" spans="1:6">
      <c r="A390" s="11" t="str">
        <f>C1&amp;".e20.2100113"</f>
        <v>Company Code.e20.2100113</v>
      </c>
      <c r="B390" s="765">
        <f>'CB20'!$B$323</f>
        <v>0</v>
      </c>
      <c r="C390" s="765">
        <f>'CB20'!$D$323</f>
        <v>0</v>
      </c>
      <c r="D390" s="765">
        <f>'CB20'!$F$323</f>
        <v>0</v>
      </c>
      <c r="E390" s="765">
        <f>'CB20'!$H$323</f>
        <v>0</v>
      </c>
      <c r="F390" s="765">
        <f>'CB20'!$J$323</f>
        <v>0</v>
      </c>
    </row>
    <row r="391" spans="1:6">
      <c r="A391" s="11" t="str">
        <f>C1&amp;".e20.2100114"</f>
        <v>Company Code.e20.2100114</v>
      </c>
      <c r="B391" s="765">
        <f>'CB20'!$B$324</f>
        <v>0</v>
      </c>
      <c r="C391" s="765">
        <f>'CB20'!$D$324</f>
        <v>0</v>
      </c>
      <c r="D391" s="765">
        <f>'CB20'!$F$324</f>
        <v>0</v>
      </c>
      <c r="E391" s="765">
        <f>'CB20'!$H$324</f>
        <v>0</v>
      </c>
      <c r="F391" s="765">
        <f>'CB20'!$J$324</f>
        <v>0</v>
      </c>
    </row>
    <row r="392" spans="1:6">
      <c r="A392" s="11" t="str">
        <f>C1&amp;".e20.2100115"</f>
        <v>Company Code.e20.2100115</v>
      </c>
      <c r="B392" s="765">
        <f>'CB20'!$B$325</f>
        <v>0</v>
      </c>
      <c r="C392" s="765">
        <f>'CB20'!$D$325</f>
        <v>0</v>
      </c>
      <c r="D392" s="765">
        <f>'CB20'!$F$325</f>
        <v>0</v>
      </c>
      <c r="E392" s="765">
        <f>'CB20'!$H$325</f>
        <v>0</v>
      </c>
      <c r="F392" s="765">
        <f>'CB20'!$J$325</f>
        <v>0</v>
      </c>
    </row>
    <row r="393" spans="1:6">
      <c r="A393" s="11" t="s">
        <v>653</v>
      </c>
      <c r="B393" s="495"/>
      <c r="C393" s="495"/>
      <c r="D393" s="495"/>
      <c r="E393" s="495"/>
      <c r="F393" s="495"/>
    </row>
    <row r="394" spans="1:6">
      <c r="A394" s="11" t="s">
        <v>654</v>
      </c>
      <c r="B394" s="493" t="s">
        <v>642</v>
      </c>
      <c r="C394" s="494" t="s">
        <v>643</v>
      </c>
      <c r="D394" s="494" t="s">
        <v>644</v>
      </c>
      <c r="E394" s="494" t="s">
        <v>645</v>
      </c>
      <c r="F394" s="494" t="s">
        <v>646</v>
      </c>
    </row>
    <row r="395" spans="1:6">
      <c r="A395" s="11" t="str">
        <f>C1&amp;".e20.21002"</f>
        <v>Company Code.e20.21002</v>
      </c>
      <c r="B395" s="492">
        <f>'CB20'!$B$326</f>
        <v>0</v>
      </c>
      <c r="C395" s="492">
        <f>'CB20'!$D$326</f>
        <v>0</v>
      </c>
      <c r="D395" s="492">
        <f>'CB20'!$F$326</f>
        <v>0</v>
      </c>
      <c r="E395" s="492">
        <f>'CB20'!$H$326</f>
        <v>0</v>
      </c>
      <c r="F395" s="492">
        <f>'CB20'!$J$326</f>
        <v>0</v>
      </c>
    </row>
    <row r="396" spans="1:6">
      <c r="A396" s="11" t="str">
        <f>C1&amp;".e20.2100201"</f>
        <v>Company Code.e20.2100201</v>
      </c>
      <c r="B396" s="492">
        <f>'CB20'!$B$327</f>
        <v>0</v>
      </c>
      <c r="C396" s="492">
        <f>'CB20'!$D$327</f>
        <v>0</v>
      </c>
      <c r="D396" s="492">
        <f>'CB20'!$F$327</f>
        <v>0</v>
      </c>
      <c r="E396" s="492">
        <f>'CB20'!$H$327</f>
        <v>0</v>
      </c>
      <c r="F396" s="492">
        <f>'CB20'!$J$327</f>
        <v>0</v>
      </c>
    </row>
    <row r="397" spans="1:6">
      <c r="A397" s="11" t="str">
        <f>C1&amp;".e20.210020101"</f>
        <v>Company Code.e20.210020101</v>
      </c>
      <c r="B397" s="495">
        <f>'CB20'!$B$328</f>
        <v>0</v>
      </c>
      <c r="C397" s="495">
        <f>'CB20'!$D$328</f>
        <v>0</v>
      </c>
      <c r="D397" s="495">
        <f>'CB20'!$F$328</f>
        <v>0</v>
      </c>
      <c r="E397" s="495">
        <f>'CB20'!$H$328</f>
        <v>0</v>
      </c>
      <c r="F397" s="495">
        <f>'CB20'!$J$328</f>
        <v>0</v>
      </c>
    </row>
    <row r="398" spans="1:6">
      <c r="A398" s="11" t="str">
        <f>C1&amp;".e20.210020102"</f>
        <v>Company Code.e20.210020102</v>
      </c>
      <c r="B398" s="495">
        <f>'CB20'!$B$329</f>
        <v>0</v>
      </c>
      <c r="C398" s="495">
        <f>'CB20'!$D$329</f>
        <v>0</v>
      </c>
      <c r="D398" s="495">
        <f>'CB20'!$F$329</f>
        <v>0</v>
      </c>
      <c r="E398" s="495">
        <f>'CB20'!$H$329</f>
        <v>0</v>
      </c>
      <c r="F398" s="495">
        <f>'CB20'!$J$329</f>
        <v>0</v>
      </c>
    </row>
    <row r="399" spans="1:6">
      <c r="A399" s="11" t="str">
        <f>C1&amp;".e20.210020103"</f>
        <v>Company Code.e20.210020103</v>
      </c>
      <c r="B399" s="495">
        <f>'CB20'!$B$330</f>
        <v>0</v>
      </c>
      <c r="C399" s="495">
        <f>'CB20'!$D$330</f>
        <v>0</v>
      </c>
      <c r="D399" s="495">
        <f>'CB20'!$F$330</f>
        <v>0</v>
      </c>
      <c r="E399" s="495">
        <f>'CB20'!$H$330</f>
        <v>0</v>
      </c>
      <c r="F399" s="495">
        <f>'CB20'!$J$330</f>
        <v>0</v>
      </c>
    </row>
    <row r="400" spans="1:6">
      <c r="A400" s="11" t="str">
        <f>C1&amp;".e20.210020104"</f>
        <v>Company Code.e20.210020104</v>
      </c>
      <c r="B400" s="495">
        <f>'CB20'!$B$331</f>
        <v>0</v>
      </c>
      <c r="C400" s="495">
        <f>'CB20'!$D$331</f>
        <v>0</v>
      </c>
      <c r="D400" s="495">
        <f>'CB20'!$F$331</f>
        <v>0</v>
      </c>
      <c r="E400" s="495">
        <f>'CB20'!$H$331</f>
        <v>0</v>
      </c>
      <c r="F400" s="495">
        <f>'CB20'!$J$331</f>
        <v>0</v>
      </c>
    </row>
    <row r="401" spans="1:6">
      <c r="A401" s="11" t="str">
        <f>C1&amp;".e20.210020105"</f>
        <v>Company Code.e20.210020105</v>
      </c>
      <c r="B401" s="495">
        <f>'CB20'!$B$332</f>
        <v>0</v>
      </c>
      <c r="C401" s="495">
        <f>'CB20'!$D$332</f>
        <v>0</v>
      </c>
      <c r="D401" s="495">
        <f>'CB20'!$F$332</f>
        <v>0</v>
      </c>
      <c r="E401" s="495">
        <f>'CB20'!$H$332</f>
        <v>0</v>
      </c>
      <c r="F401" s="495">
        <f>'CB20'!$J$332</f>
        <v>0</v>
      </c>
    </row>
    <row r="402" spans="1:6">
      <c r="A402" s="11" t="str">
        <f>C1&amp;".e20.210020106"</f>
        <v>Company Code.e20.210020106</v>
      </c>
      <c r="B402" s="495">
        <f>'CB20'!$B$333</f>
        <v>0</v>
      </c>
      <c r="C402" s="495">
        <f>'CB20'!$D$333</f>
        <v>0</v>
      </c>
      <c r="D402" s="495">
        <f>'CB20'!$F$333</f>
        <v>0</v>
      </c>
      <c r="E402" s="495">
        <f>'CB20'!$H$333</f>
        <v>0</v>
      </c>
      <c r="F402" s="495">
        <f>'CB20'!$J$333</f>
        <v>0</v>
      </c>
    </row>
    <row r="403" spans="1:6">
      <c r="A403" s="11" t="str">
        <f>C1&amp;".e20.210020107"</f>
        <v>Company Code.e20.210020107</v>
      </c>
      <c r="B403" s="495">
        <f>'CB20'!$B$334</f>
        <v>0</v>
      </c>
      <c r="C403" s="495">
        <f>'CB20'!$D$334</f>
        <v>0</v>
      </c>
      <c r="D403" s="495">
        <f>'CB20'!$F$334</f>
        <v>0</v>
      </c>
      <c r="E403" s="495">
        <f>'CB20'!$H$334</f>
        <v>0</v>
      </c>
      <c r="F403" s="495">
        <f>'CB20'!$J$334</f>
        <v>0</v>
      </c>
    </row>
    <row r="404" spans="1:6">
      <c r="A404" s="11" t="str">
        <f>C1&amp;".e20.2100202"</f>
        <v>Company Code.e20.2100202</v>
      </c>
      <c r="B404" s="495">
        <f>'CB20'!$B$335</f>
        <v>0</v>
      </c>
      <c r="C404" s="495">
        <f>'CB20'!$D$335</f>
        <v>0</v>
      </c>
      <c r="D404" s="495">
        <f>'CB20'!$F$335</f>
        <v>0</v>
      </c>
      <c r="E404" s="495">
        <f>'CB20'!$H$335</f>
        <v>0</v>
      </c>
      <c r="F404" s="495">
        <f>'CB20'!$J$335</f>
        <v>0</v>
      </c>
    </row>
    <row r="405" spans="1:6">
      <c r="A405" s="11" t="str">
        <f>C1&amp;".e20.210020201"</f>
        <v>Company Code.e20.210020201</v>
      </c>
      <c r="B405" s="495">
        <f>'CB20'!$B$336</f>
        <v>0</v>
      </c>
      <c r="C405" s="495">
        <f>'CB20'!$D$336</f>
        <v>0</v>
      </c>
      <c r="D405" s="495">
        <f>'CB20'!$F$336</f>
        <v>0</v>
      </c>
      <c r="E405" s="495">
        <f>'CB20'!$H$336</f>
        <v>0</v>
      </c>
      <c r="F405" s="495">
        <f>'CB20'!$J$336</f>
        <v>0</v>
      </c>
    </row>
    <row r="406" spans="1:6">
      <c r="A406" s="11" t="str">
        <f>C1&amp;".e20.210020202"</f>
        <v>Company Code.e20.210020202</v>
      </c>
      <c r="B406" s="495">
        <f>'CB20'!$B$337</f>
        <v>0</v>
      </c>
      <c r="C406" s="495">
        <f>'CB20'!$D$337</f>
        <v>0</v>
      </c>
      <c r="D406" s="495">
        <f>'CB20'!$F$337</f>
        <v>0</v>
      </c>
      <c r="E406" s="495">
        <f>'CB20'!$H$337</f>
        <v>0</v>
      </c>
      <c r="F406" s="495">
        <f>'CB20'!$J$337</f>
        <v>0</v>
      </c>
    </row>
    <row r="407" spans="1:6">
      <c r="A407" s="11" t="str">
        <f>C1&amp;".e20.210020203"</f>
        <v>Company Code.e20.210020203</v>
      </c>
      <c r="B407" s="495">
        <f>'CB20'!$B$338</f>
        <v>0</v>
      </c>
      <c r="C407" s="495">
        <f>'CB20'!$D$338</f>
        <v>0</v>
      </c>
      <c r="D407" s="495">
        <f>'CB20'!$F$338</f>
        <v>0</v>
      </c>
      <c r="E407" s="495">
        <f>'CB20'!$H$338</f>
        <v>0</v>
      </c>
      <c r="F407" s="495">
        <f>'CB20'!$J$338</f>
        <v>0</v>
      </c>
    </row>
    <row r="408" spans="1:6">
      <c r="A408" s="11" t="str">
        <f>C1&amp;".e20.210020204"</f>
        <v>Company Code.e20.210020204</v>
      </c>
      <c r="B408" s="495">
        <f>'CB20'!$B$339</f>
        <v>0</v>
      </c>
      <c r="C408" s="495">
        <f>'CB20'!$D$339</f>
        <v>0</v>
      </c>
      <c r="D408" s="495">
        <f>'CB20'!$F$339</f>
        <v>0</v>
      </c>
      <c r="E408" s="495">
        <f>'CB20'!$H$339</f>
        <v>0</v>
      </c>
      <c r="F408" s="495">
        <f>'CB20'!$J$339</f>
        <v>0</v>
      </c>
    </row>
    <row r="409" spans="1:6">
      <c r="A409" s="11" t="str">
        <f>C1&amp;".e20.210020205"</f>
        <v>Company Code.e20.210020205</v>
      </c>
      <c r="B409" s="495">
        <f>'CB20'!$B$340</f>
        <v>0</v>
      </c>
      <c r="C409" s="495">
        <f>'CB20'!$D$340</f>
        <v>0</v>
      </c>
      <c r="D409" s="495">
        <f>'CB20'!$F$340</f>
        <v>0</v>
      </c>
      <c r="E409" s="495">
        <f>'CB20'!$H$340</f>
        <v>0</v>
      </c>
      <c r="F409" s="495">
        <f>'CB20'!$J$340</f>
        <v>0</v>
      </c>
    </row>
    <row r="410" spans="1:6">
      <c r="A410" s="11" t="str">
        <f>C1&amp;".e20.210020206"</f>
        <v>Company Code.e20.210020206</v>
      </c>
      <c r="B410" s="495">
        <f>'CB20'!$B$341</f>
        <v>0</v>
      </c>
      <c r="C410" s="495">
        <f>'CB20'!$D$341</f>
        <v>0</v>
      </c>
      <c r="D410" s="495">
        <f>'CB20'!$F$341</f>
        <v>0</v>
      </c>
      <c r="E410" s="495">
        <f>'CB20'!$H$341</f>
        <v>0</v>
      </c>
      <c r="F410" s="495">
        <f>'CB20'!$J$341</f>
        <v>0</v>
      </c>
    </row>
    <row r="411" spans="1:6">
      <c r="A411" s="11" t="str">
        <f>C1&amp;".e20.210020207"</f>
        <v>Company Code.e20.210020207</v>
      </c>
      <c r="B411" s="495">
        <f>'CB20'!$B$342</f>
        <v>0</v>
      </c>
      <c r="C411" s="495">
        <f>'CB20'!$D$342</f>
        <v>0</v>
      </c>
      <c r="D411" s="495">
        <f>'CB20'!$F$342</f>
        <v>0</v>
      </c>
      <c r="E411" s="495">
        <f>'CB20'!$H$342</f>
        <v>0</v>
      </c>
      <c r="F411" s="495">
        <f>'CB20'!$J$342</f>
        <v>0</v>
      </c>
    </row>
    <row r="412" spans="1:6">
      <c r="A412" s="11" t="str">
        <f>C1&amp;".e20.21003"</f>
        <v>Company Code.e20.21003</v>
      </c>
      <c r="B412" s="495">
        <f>'CB20'!$B$343</f>
        <v>0</v>
      </c>
      <c r="C412" s="495">
        <f>'CB20'!$D$343</f>
        <v>0</v>
      </c>
      <c r="D412" s="495">
        <f>'CB20'!$F$343</f>
        <v>0</v>
      </c>
      <c r="E412" s="495">
        <f>'CB20'!$H$343</f>
        <v>0</v>
      </c>
      <c r="F412" s="495">
        <f>'CB20'!$J$343</f>
        <v>0</v>
      </c>
    </row>
    <row r="413" spans="1:6">
      <c r="A413" s="11" t="str">
        <f>C1&amp;".e20.2100301"</f>
        <v>Company Code.e20.2100301</v>
      </c>
      <c r="B413" s="495">
        <f>'CB20'!$B$344</f>
        <v>0</v>
      </c>
      <c r="C413" s="495">
        <f>'CB20'!$D$344</f>
        <v>0</v>
      </c>
      <c r="D413" s="495">
        <f>'CB20'!$F$344</f>
        <v>0</v>
      </c>
      <c r="E413" s="495">
        <f>'CB20'!$H$344</f>
        <v>0</v>
      </c>
      <c r="F413" s="495">
        <f>'CB20'!$J$344</f>
        <v>0</v>
      </c>
    </row>
    <row r="414" spans="1:6">
      <c r="A414" s="11" t="str">
        <f>C1&amp;".e20.2100302"</f>
        <v>Company Code.e20.2100302</v>
      </c>
      <c r="B414" s="495">
        <f>'CB20'!$B$345</f>
        <v>0</v>
      </c>
      <c r="C414" s="495">
        <f>'CB20'!$D$345</f>
        <v>0</v>
      </c>
      <c r="D414" s="495">
        <f>'CB20'!$F$345</f>
        <v>0</v>
      </c>
      <c r="E414" s="495">
        <f>'CB20'!$H$345</f>
        <v>0</v>
      </c>
      <c r="F414" s="495">
        <f>'CB20'!$J$345</f>
        <v>0</v>
      </c>
    </row>
    <row r="415" spans="1:6">
      <c r="A415" s="11" t="str">
        <f>C1&amp;".e20.210030201"</f>
        <v>Company Code.e20.210030201</v>
      </c>
      <c r="B415" s="495">
        <f>'CB20'!$B$346</f>
        <v>0</v>
      </c>
      <c r="C415" s="495">
        <f>'CB20'!$D$346</f>
        <v>0</v>
      </c>
      <c r="D415" s="495">
        <f>'CB20'!$F$346</f>
        <v>0</v>
      </c>
      <c r="E415" s="495">
        <f>'CB20'!$H$346</f>
        <v>0</v>
      </c>
      <c r="F415" s="495">
        <f>'CB20'!$J$346</f>
        <v>0</v>
      </c>
    </row>
    <row r="416" spans="1:6">
      <c r="A416" s="11" t="str">
        <f>C1&amp;".e20.210030202"</f>
        <v>Company Code.e20.210030202</v>
      </c>
      <c r="B416" s="495">
        <f>'CB20'!$B$347</f>
        <v>0</v>
      </c>
      <c r="C416" s="495">
        <f>'CB20'!$D$347</f>
        <v>0</v>
      </c>
      <c r="D416" s="495">
        <f>'CB20'!$F$347</f>
        <v>0</v>
      </c>
      <c r="E416" s="495">
        <f>'CB20'!$H$347</f>
        <v>0</v>
      </c>
      <c r="F416" s="495">
        <f>'CB20'!$J$347</f>
        <v>0</v>
      </c>
    </row>
    <row r="417" spans="1:6">
      <c r="A417" s="11" t="str">
        <f>C1&amp;".e20.210030203"</f>
        <v>Company Code.e20.210030203</v>
      </c>
      <c r="B417" s="495">
        <f>'CB20'!$B$348</f>
        <v>0</v>
      </c>
      <c r="C417" s="495">
        <f>'CB20'!$D$348</f>
        <v>0</v>
      </c>
      <c r="D417" s="495">
        <f>'CB20'!$F$348</f>
        <v>0</v>
      </c>
      <c r="E417" s="495">
        <f>'CB20'!$H$348</f>
        <v>0</v>
      </c>
      <c r="F417" s="495">
        <f>'CB20'!$J$348</f>
        <v>0</v>
      </c>
    </row>
    <row r="418" spans="1:6">
      <c r="A418" s="11" t="str">
        <f>C1&amp;".e20.210030204"</f>
        <v>Company Code.e20.210030204</v>
      </c>
      <c r="B418" s="495">
        <f>'CB20'!$B$349</f>
        <v>0</v>
      </c>
      <c r="C418" s="495">
        <f>'CB20'!$D$349</f>
        <v>0</v>
      </c>
      <c r="D418" s="495">
        <f>'CB20'!$F$349</f>
        <v>0</v>
      </c>
      <c r="E418" s="495">
        <f>'CB20'!$H$349</f>
        <v>0</v>
      </c>
      <c r="F418" s="495">
        <f>'CB20'!$J$349</f>
        <v>0</v>
      </c>
    </row>
    <row r="419" spans="1:6">
      <c r="A419" s="11" t="str">
        <f>C1&amp;".e20.210030205"</f>
        <v>Company Code.e20.210030205</v>
      </c>
      <c r="B419" s="495">
        <f>'CB20'!$B$350</f>
        <v>0</v>
      </c>
      <c r="C419" s="495">
        <f>'CB20'!$D$350</f>
        <v>0</v>
      </c>
      <c r="D419" s="495">
        <f>'CB20'!$F$350</f>
        <v>0</v>
      </c>
      <c r="E419" s="495">
        <f>'CB20'!$H$350</f>
        <v>0</v>
      </c>
      <c r="F419" s="495">
        <f>'CB20'!$J$350</f>
        <v>0</v>
      </c>
    </row>
    <row r="420" spans="1:6">
      <c r="A420" s="11" t="str">
        <f>C1&amp;".e20.210030206"</f>
        <v>Company Code.e20.210030206</v>
      </c>
      <c r="B420" s="495">
        <f>'CB20'!$B$351</f>
        <v>0</v>
      </c>
      <c r="C420" s="495">
        <f>'CB20'!$D$351</f>
        <v>0</v>
      </c>
      <c r="D420" s="495">
        <f>'CB20'!$F$351</f>
        <v>0</v>
      </c>
      <c r="E420" s="495">
        <f>'CB20'!$H$351</f>
        <v>0</v>
      </c>
      <c r="F420" s="495">
        <f>'CB20'!$J$351</f>
        <v>0</v>
      </c>
    </row>
    <row r="421" spans="1:6">
      <c r="A421" s="11" t="str">
        <f>C1&amp;".e20.210030207"</f>
        <v>Company Code.e20.210030207</v>
      </c>
      <c r="B421" s="492">
        <f>'CB20'!$B$352</f>
        <v>0</v>
      </c>
      <c r="C421" s="492">
        <f>'CB20'!$D$352</f>
        <v>0</v>
      </c>
      <c r="D421" s="492">
        <f>'CB20'!$F$352</f>
        <v>0</v>
      </c>
      <c r="E421" s="492">
        <f>'CB20'!$H$352</f>
        <v>0</v>
      </c>
      <c r="F421" s="492">
        <f>'CB20'!$J$352</f>
        <v>0</v>
      </c>
    </row>
    <row r="422" spans="1:6">
      <c r="A422" s="11" t="str">
        <f>C1&amp;".e20.21004"</f>
        <v>Company Code.e20.21004</v>
      </c>
      <c r="B422" s="492">
        <f>'CB20'!$B$353</f>
        <v>0</v>
      </c>
      <c r="C422" s="492">
        <f>'CB20'!$D$353</f>
        <v>0</v>
      </c>
      <c r="D422" s="492">
        <f>'CB20'!$F$353</f>
        <v>0</v>
      </c>
      <c r="E422" s="492">
        <f>'CB20'!$H$353</f>
        <v>0</v>
      </c>
      <c r="F422" s="492">
        <f>'CB20'!$J$353</f>
        <v>0</v>
      </c>
    </row>
    <row r="423" spans="1:6">
      <c r="A423" s="11" t="s">
        <v>655</v>
      </c>
    </row>
    <row r="424" spans="1:6">
      <c r="A424" s="11" t="str">
        <f>C1&amp;".e20.21004_1.name"</f>
        <v>Company Code.e20.21004_1.name</v>
      </c>
      <c r="B424" s="492">
        <f>'CB20'!$A$354</f>
        <v>0</v>
      </c>
    </row>
    <row r="425" spans="1:6">
      <c r="A425" s="11" t="str">
        <f>C1&amp;".e20.21004_1.all"</f>
        <v>Company Code.e20.21004_1.all</v>
      </c>
      <c r="B425" s="492">
        <f>'CB20'!$B$354</f>
        <v>0</v>
      </c>
    </row>
    <row r="426" spans="1:6">
      <c r="A426" s="11" t="str">
        <f>C1&amp;".e20.21004_1.r.tt"</f>
        <v>Company Code.e20.21004_1.r.tt</v>
      </c>
      <c r="B426" s="492">
        <f>'CB20'!$D$354</f>
        <v>0</v>
      </c>
    </row>
    <row r="427" spans="1:6">
      <c r="A427" s="11" t="str">
        <f>C1&amp;".e20.21004_1.r.for"</f>
        <v>Company Code.e20.21004_1.r.for</v>
      </c>
      <c r="B427" s="492">
        <f>'CB20'!$F$354</f>
        <v>0</v>
      </c>
    </row>
    <row r="428" spans="1:6">
      <c r="A428" s="11" t="str">
        <f>C1&amp;".e20.21004_1.nr.tt"</f>
        <v>Company Code.e20.21004_1.nr.tt</v>
      </c>
      <c r="B428" s="492">
        <f>'CB20'!$H$354</f>
        <v>0</v>
      </c>
    </row>
    <row r="429" spans="1:6">
      <c r="A429" s="11" t="str">
        <f>C1&amp;".e20.21004_1.nr.for"</f>
        <v>Company Code.e20.21004_1.nr.for</v>
      </c>
      <c r="B429" s="492">
        <f>'CB20'!$J$354</f>
        <v>0</v>
      </c>
    </row>
    <row r="430" spans="1:6">
      <c r="A430" s="11" t="str">
        <f>C1&amp;".e20.21004_2.name"</f>
        <v>Company Code.e20.21004_2.name</v>
      </c>
      <c r="B430" s="492">
        <f>'CB20'!$A$355</f>
        <v>0</v>
      </c>
    </row>
    <row r="431" spans="1:6">
      <c r="A431" s="11" t="str">
        <f>C1&amp;".e20.21004_2.all"</f>
        <v>Company Code.e20.21004_2.all</v>
      </c>
      <c r="B431" s="492">
        <f>'CB20'!$B$355</f>
        <v>0</v>
      </c>
    </row>
    <row r="432" spans="1:6">
      <c r="A432" s="11" t="str">
        <f>C1&amp;".e20.21004_2.r.tt"</f>
        <v>Company Code.e20.21004_2.r.tt</v>
      </c>
      <c r="B432" s="492">
        <f>'CB20'!$D$355</f>
        <v>0</v>
      </c>
    </row>
    <row r="433" spans="1:6">
      <c r="A433" s="11" t="str">
        <f>C1&amp;".e20.21004_2.r.for"</f>
        <v>Company Code.e20.21004_2.r.for</v>
      </c>
      <c r="B433" s="492">
        <f>'CB20'!$F$355</f>
        <v>0</v>
      </c>
    </row>
    <row r="434" spans="1:6">
      <c r="A434" s="11" t="str">
        <f>C1&amp;".e20.21004_2.nr.tt"</f>
        <v>Company Code.e20.21004_2.nr.tt</v>
      </c>
      <c r="B434" s="492">
        <f>'CB20'!$H$355</f>
        <v>0</v>
      </c>
    </row>
    <row r="435" spans="1:6">
      <c r="A435" s="11" t="str">
        <f>C1&amp;".e20.21004_2.nr.for"</f>
        <v>Company Code.e20.21004_2.nr.for</v>
      </c>
      <c r="B435" s="492">
        <f>'CB20'!$J$355</f>
        <v>0</v>
      </c>
    </row>
    <row r="436" spans="1:6">
      <c r="A436" s="11" t="str">
        <f>C1&amp;".e20.21207_1.name"</f>
        <v>Company Code.e20.21207_1.name</v>
      </c>
      <c r="B436" s="492">
        <f>'CB20'!$A$386</f>
        <v>0</v>
      </c>
    </row>
    <row r="437" spans="1:6">
      <c r="A437" s="11" t="str">
        <f>C1&amp;".e20.21207_1.all"</f>
        <v>Company Code.e20.21207_1.all</v>
      </c>
      <c r="B437" s="549">
        <f>'CB20'!$B$386</f>
        <v>0</v>
      </c>
    </row>
    <row r="438" spans="1:6">
      <c r="A438" s="11" t="str">
        <f>C1&amp;".e20.21207_1.r.tt"</f>
        <v>Company Code.e20.21207_1.r.tt</v>
      </c>
      <c r="B438" s="549">
        <f>'CB20'!$D$386</f>
        <v>0</v>
      </c>
    </row>
    <row r="439" spans="1:6">
      <c r="A439" s="11" t="str">
        <f>C1&amp;".e20.21207_1.r.for"</f>
        <v>Company Code.e20.21207_1.r.for</v>
      </c>
      <c r="B439" s="549">
        <f>'CB20'!$F$386</f>
        <v>0</v>
      </c>
    </row>
    <row r="440" spans="1:6">
      <c r="A440" s="11" t="str">
        <f>C1&amp;".e20.21207_1.nr.tt"</f>
        <v>Company Code.e20.21207_1.nr.tt</v>
      </c>
      <c r="B440" s="549">
        <f>'CB20'!$H$386</f>
        <v>0</v>
      </c>
    </row>
    <row r="441" spans="1:6">
      <c r="A441" s="11" t="str">
        <f>C1&amp;".e20.21207_1.nr.for"</f>
        <v>Company Code.e20.21207_1.nr.for</v>
      </c>
      <c r="B441" s="549">
        <f>'CB20'!$J$386</f>
        <v>0</v>
      </c>
    </row>
    <row r="442" spans="1:6">
      <c r="A442" s="11" t="str">
        <f>C1&amp;".e20.21207_2.name"</f>
        <v>Company Code.e20.21207_2.name</v>
      </c>
      <c r="B442" s="492">
        <f>'CB20'!$A$387</f>
        <v>0</v>
      </c>
    </row>
    <row r="443" spans="1:6">
      <c r="A443" s="11" t="str">
        <f>C1&amp;".e20.21207_2.all"</f>
        <v>Company Code.e20.21207_2.all</v>
      </c>
      <c r="B443" s="549">
        <f>'CB20'!$B$387</f>
        <v>0</v>
      </c>
    </row>
    <row r="444" spans="1:6">
      <c r="A444" s="11" t="str">
        <f>C1&amp;".e20.21207_2.r.tt"</f>
        <v>Company Code.e20.21207_2.r.tt</v>
      </c>
      <c r="B444" s="549">
        <f>'CB20'!$D$387</f>
        <v>0</v>
      </c>
    </row>
    <row r="445" spans="1:6">
      <c r="A445" s="11" t="str">
        <f>C1&amp;".e20.21207_2.r.for"</f>
        <v>Company Code.e20.21207_2.r.for</v>
      </c>
      <c r="B445" s="549">
        <f>'CB20'!$F$387</f>
        <v>0</v>
      </c>
    </row>
    <row r="446" spans="1:6">
      <c r="A446" s="11" t="str">
        <f>C1&amp;".e20.21207_2.nr.tt"</f>
        <v>Company Code.e20.21207_2.nr.tt</v>
      </c>
      <c r="B446" s="549">
        <f>'CB20'!$H$387</f>
        <v>0</v>
      </c>
    </row>
    <row r="447" spans="1:6">
      <c r="A447" s="11" t="str">
        <f>C1&amp;".e20.21207_2.nr.for"</f>
        <v>Company Code.e20.21207_2.nr.for</v>
      </c>
      <c r="B447" s="549">
        <f>'CB20'!$J$387</f>
        <v>0</v>
      </c>
    </row>
    <row r="448" spans="1:6">
      <c r="A448" s="11" t="s">
        <v>656</v>
      </c>
      <c r="B448" s="493" t="s">
        <v>642</v>
      </c>
      <c r="C448" s="494" t="s">
        <v>643</v>
      </c>
      <c r="D448" s="494" t="s">
        <v>644</v>
      </c>
      <c r="E448" s="494" t="s">
        <v>645</v>
      </c>
      <c r="F448" s="494" t="s">
        <v>646</v>
      </c>
    </row>
    <row r="449" spans="1:6">
      <c r="A449" s="11" t="str">
        <f>C1&amp;".e20.210"</f>
        <v>Company Code.e20.210</v>
      </c>
      <c r="B449" s="492">
        <f>'CB20'!$B$356</f>
        <v>0</v>
      </c>
      <c r="C449" s="492">
        <f>'CB20'!$D$356</f>
        <v>0</v>
      </c>
      <c r="D449" s="492">
        <f>'CB20'!$F$356</f>
        <v>0</v>
      </c>
      <c r="E449" s="492">
        <f>'CB20'!$H$356</f>
        <v>0</v>
      </c>
      <c r="F449" s="492">
        <f>'CB20'!$J$356</f>
        <v>0</v>
      </c>
    </row>
    <row r="450" spans="1:6">
      <c r="A450" s="11" t="str">
        <f>C1&amp;".e20.21101"</f>
        <v>Company Code.e20.21101</v>
      </c>
      <c r="B450" s="492">
        <f>'CB20'!$B$361</f>
        <v>0</v>
      </c>
      <c r="C450" s="492">
        <f>'CB20'!$D$361</f>
        <v>0</v>
      </c>
      <c r="D450" s="492">
        <f>'CB20'!$F$361</f>
        <v>0</v>
      </c>
      <c r="E450" s="492">
        <f>'CB20'!$H$361</f>
        <v>0</v>
      </c>
      <c r="F450" s="492">
        <f>'CB20'!$J$361</f>
        <v>0</v>
      </c>
    </row>
    <row r="451" spans="1:6">
      <c r="A451" s="11" t="str">
        <f>C1&amp;".e20.2110101"</f>
        <v>Company Code.e20.2110101</v>
      </c>
      <c r="B451" s="492">
        <f>'CB20'!$B$362</f>
        <v>0</v>
      </c>
      <c r="C451" s="492">
        <f>'CB20'!$D$362</f>
        <v>0</v>
      </c>
      <c r="D451" s="492">
        <f>'CB20'!$F$362</f>
        <v>0</v>
      </c>
      <c r="E451" s="492">
        <f>'CB20'!$H$362</f>
        <v>0</v>
      </c>
      <c r="F451" s="492">
        <f>'CB20'!$J$362</f>
        <v>0</v>
      </c>
    </row>
    <row r="452" spans="1:6">
      <c r="A452" s="11" t="str">
        <f>C1&amp;".e20.2110102"</f>
        <v>Company Code.e20.2110102</v>
      </c>
      <c r="B452" s="492">
        <f>'CB20'!$B$363</f>
        <v>0</v>
      </c>
      <c r="C452" s="492">
        <f>'CB20'!$D$363</f>
        <v>0</v>
      </c>
      <c r="D452" s="492">
        <f>'CB20'!$F$363</f>
        <v>0</v>
      </c>
      <c r="E452" s="492">
        <f>'CB20'!$H$363</f>
        <v>0</v>
      </c>
      <c r="F452" s="492">
        <f>'CB20'!$J$363</f>
        <v>0</v>
      </c>
    </row>
    <row r="453" spans="1:6">
      <c r="A453" s="11" t="str">
        <f>C1&amp;".e20.2110103"</f>
        <v>Company Code.e20.2110103</v>
      </c>
      <c r="B453" s="492">
        <f>'CB20'!$B$364</f>
        <v>0</v>
      </c>
      <c r="C453" s="492">
        <f>'CB20'!$D$364</f>
        <v>0</v>
      </c>
      <c r="D453" s="492">
        <f>'CB20'!$F$364</f>
        <v>0</v>
      </c>
      <c r="E453" s="492">
        <f>'CB20'!$H$364</f>
        <v>0</v>
      </c>
      <c r="F453" s="492">
        <f>'CB20'!$J$364</f>
        <v>0</v>
      </c>
    </row>
    <row r="454" spans="1:6">
      <c r="A454" s="11" t="str">
        <f>C1&amp;".e20.2110104"</f>
        <v>Company Code.e20.2110104</v>
      </c>
      <c r="B454" s="492">
        <f>'CB20'!$B$365</f>
        <v>0</v>
      </c>
      <c r="C454" s="492">
        <f>'CB20'!$D$365</f>
        <v>0</v>
      </c>
      <c r="D454" s="492">
        <f>'CB20'!$F$365</f>
        <v>0</v>
      </c>
      <c r="E454" s="492">
        <f>'CB20'!$H$365</f>
        <v>0</v>
      </c>
      <c r="F454" s="492">
        <f>'CB20'!$J$365</f>
        <v>0</v>
      </c>
    </row>
    <row r="455" spans="1:6">
      <c r="A455" s="11" t="str">
        <f>C1&amp;".e20.21102"</f>
        <v>Company Code.e20.21102</v>
      </c>
      <c r="B455" s="492">
        <f>'CB20'!$B$366</f>
        <v>0</v>
      </c>
      <c r="C455" s="492">
        <f>'CB20'!$D$366</f>
        <v>0</v>
      </c>
      <c r="D455" s="492">
        <f>'CB20'!$F$366</f>
        <v>0</v>
      </c>
      <c r="E455" s="492">
        <f>'CB20'!$H$366</f>
        <v>0</v>
      </c>
      <c r="F455" s="492">
        <f>'CB20'!$J$366</f>
        <v>0</v>
      </c>
    </row>
    <row r="456" spans="1:6">
      <c r="A456" s="11" t="str">
        <f>C1&amp;".e20.21103"</f>
        <v>Company Code.e20.21103</v>
      </c>
      <c r="B456" s="492">
        <f>'CB20'!$B$367</f>
        <v>0</v>
      </c>
      <c r="C456" s="492">
        <f>'CB20'!$D$367</f>
        <v>0</v>
      </c>
      <c r="D456" s="492">
        <f>'CB20'!$F$367</f>
        <v>0</v>
      </c>
      <c r="E456" s="492">
        <f>'CB20'!$H$367</f>
        <v>0</v>
      </c>
      <c r="F456" s="492">
        <f>'CB20'!$J$367</f>
        <v>0</v>
      </c>
    </row>
    <row r="457" spans="1:6">
      <c r="A457" s="11" t="str">
        <f>C1&amp;".e20.2110301"</f>
        <v>Company Code.e20.2110301</v>
      </c>
      <c r="B457" s="492">
        <f>'CB20'!$B$368</f>
        <v>0</v>
      </c>
      <c r="C457" s="492">
        <f>'CB20'!$D$368</f>
        <v>0</v>
      </c>
      <c r="D457" s="492">
        <f>'CB20'!$F$368</f>
        <v>0</v>
      </c>
      <c r="E457" s="492">
        <f>'CB20'!$H$368</f>
        <v>0</v>
      </c>
      <c r="F457" s="492">
        <f>'CB20'!$J$368</f>
        <v>0</v>
      </c>
    </row>
    <row r="458" spans="1:6">
      <c r="A458" s="11" t="str">
        <f>C1&amp;".e20.2110302"</f>
        <v>Company Code.e20.2110302</v>
      </c>
      <c r="B458" s="492">
        <f>'CB20'!$B$369</f>
        <v>0</v>
      </c>
      <c r="C458" s="492">
        <f>'CB20'!$D$369</f>
        <v>0</v>
      </c>
      <c r="D458" s="492">
        <f>'CB20'!$F$369</f>
        <v>0</v>
      </c>
      <c r="E458" s="492">
        <f>'CB20'!$H$369</f>
        <v>0</v>
      </c>
      <c r="F458" s="492">
        <f>'CB20'!$J$369</f>
        <v>0</v>
      </c>
    </row>
    <row r="459" spans="1:6">
      <c r="A459" s="11" t="str">
        <f>C1&amp;".e20.211"</f>
        <v>Company Code.e20.211</v>
      </c>
      <c r="B459" s="492">
        <f>'CB20'!$B$370</f>
        <v>0</v>
      </c>
      <c r="C459" s="492">
        <f>'CB20'!$D$370</f>
        <v>0</v>
      </c>
      <c r="D459" s="492">
        <f>'CB20'!$F$370</f>
        <v>0</v>
      </c>
      <c r="E459" s="492">
        <f>'CB20'!$H$370</f>
        <v>0</v>
      </c>
      <c r="F459" s="492">
        <f>'CB20'!$J$370</f>
        <v>0</v>
      </c>
    </row>
    <row r="460" spans="1:6">
      <c r="A460" s="11" t="str">
        <f>C1&amp;".e20.21104"</f>
        <v>Company Code.e20.21104</v>
      </c>
      <c r="B460" s="492">
        <f>'CB20'!$B$372</f>
        <v>0</v>
      </c>
      <c r="C460" s="492">
        <f>'CB20'!$D$372</f>
        <v>0</v>
      </c>
      <c r="D460" s="492">
        <f>'CB20'!$F$372</f>
        <v>0</v>
      </c>
      <c r="E460" s="492">
        <f>'CB20'!$H$372</f>
        <v>0</v>
      </c>
      <c r="F460" s="492">
        <f>'CB20'!$J$372</f>
        <v>0</v>
      </c>
    </row>
    <row r="461" spans="1:6">
      <c r="A461" s="11" t="str">
        <f>C1&amp;".e20.21105"</f>
        <v>Company Code.e20.21105</v>
      </c>
      <c r="B461" s="492">
        <f>'CB20'!$B$373</f>
        <v>0</v>
      </c>
      <c r="C461" s="492">
        <f>'CB20'!$D$373</f>
        <v>0</v>
      </c>
      <c r="D461" s="492">
        <f>'CB20'!$F$373</f>
        <v>0</v>
      </c>
      <c r="E461" s="492">
        <f>'CB20'!$H$373</f>
        <v>0</v>
      </c>
      <c r="F461" s="492">
        <f>'CB20'!$J$373</f>
        <v>0</v>
      </c>
    </row>
    <row r="462" spans="1:6">
      <c r="A462" s="11" t="str">
        <f>C1&amp;".e20.21201"</f>
        <v>Company Code.e20.21201</v>
      </c>
      <c r="B462" s="772">
        <f>'CB20'!$B$377</f>
        <v>0</v>
      </c>
      <c r="C462" s="772">
        <f>'CB20'!$D$377</f>
        <v>0</v>
      </c>
      <c r="D462" s="772">
        <f>'CB20'!$F$377</f>
        <v>0</v>
      </c>
      <c r="E462" s="772">
        <f>'CB20'!$H$377</f>
        <v>0</v>
      </c>
      <c r="F462" s="772">
        <f>'CB20'!$J$377</f>
        <v>0</v>
      </c>
    </row>
    <row r="463" spans="1:6">
      <c r="A463" s="11" t="str">
        <f>C1&amp;".e20.21202"</f>
        <v>Company Code.e20.21202</v>
      </c>
      <c r="B463" s="772">
        <f>'CB20'!$B$378</f>
        <v>0</v>
      </c>
      <c r="C463" s="772">
        <f>'CB20'!$D$378</f>
        <v>0</v>
      </c>
      <c r="D463" s="772">
        <f>'CB20'!$F$378</f>
        <v>0</v>
      </c>
      <c r="E463" s="772">
        <f>'CB20'!$H$378</f>
        <v>0</v>
      </c>
      <c r="F463" s="772">
        <f>'CB20'!$J$378</f>
        <v>0</v>
      </c>
    </row>
    <row r="464" spans="1:6">
      <c r="A464" s="11" t="str">
        <f>C1&amp;".e20.21203"</f>
        <v>Company Code.e20.21203</v>
      </c>
      <c r="B464" s="772">
        <f>'CB20'!$B$379</f>
        <v>0</v>
      </c>
      <c r="C464" s="772">
        <f>'CB20'!$D$379</f>
        <v>0</v>
      </c>
      <c r="D464" s="772">
        <f>'CB20'!$F$379</f>
        <v>0</v>
      </c>
      <c r="E464" s="772">
        <f>'CB20'!$H$379</f>
        <v>0</v>
      </c>
      <c r="F464" s="772">
        <f>'CB20'!$J$379</f>
        <v>0</v>
      </c>
    </row>
    <row r="465" spans="1:6">
      <c r="A465" s="11" t="str">
        <f>C1&amp;".e20.21204"</f>
        <v>Company Code.e20.21204</v>
      </c>
      <c r="B465" s="772">
        <f>'CB20'!$B$380</f>
        <v>0</v>
      </c>
      <c r="C465" s="772">
        <f>'CB20'!$D$380</f>
        <v>0</v>
      </c>
      <c r="D465" s="772">
        <f>'CB20'!$F$380</f>
        <v>0</v>
      </c>
      <c r="E465" s="772">
        <f>'CB20'!$H$380</f>
        <v>0</v>
      </c>
      <c r="F465" s="772">
        <f>'CB20'!$J$380</f>
        <v>0</v>
      </c>
    </row>
    <row r="466" spans="1:6">
      <c r="A466" s="11" t="str">
        <f>C1&amp;".e20.21205"</f>
        <v>Company Code.e20.21205</v>
      </c>
      <c r="B466" s="772">
        <f>'CB20'!$B$381</f>
        <v>0</v>
      </c>
      <c r="C466" s="772">
        <f>'CB20'!$D$381</f>
        <v>0</v>
      </c>
      <c r="D466" s="772">
        <f>'CB20'!$F$381</f>
        <v>0</v>
      </c>
      <c r="E466" s="772">
        <f>'CB20'!$H$381</f>
        <v>0</v>
      </c>
      <c r="F466" s="772">
        <f>'CB20'!$J$381</f>
        <v>0</v>
      </c>
    </row>
    <row r="467" spans="1:6">
      <c r="A467" s="11" t="str">
        <f>C1&amp;".e20.21206"</f>
        <v>Company Code.e20.21206</v>
      </c>
      <c r="B467" s="772">
        <f>'CB20'!$B$382</f>
        <v>0</v>
      </c>
      <c r="C467" s="772">
        <f>'CB20'!$D$382</f>
        <v>0</v>
      </c>
      <c r="D467" s="772">
        <f>'CB20'!$F$382</f>
        <v>0</v>
      </c>
      <c r="E467" s="772">
        <f>'CB20'!$H$382</f>
        <v>0</v>
      </c>
      <c r="F467" s="772">
        <f>'CB20'!$J$382</f>
        <v>0</v>
      </c>
    </row>
    <row r="468" spans="1:6">
      <c r="A468" s="11" t="str">
        <f>C1&amp;".e20.2120601"</f>
        <v>Company Code.e20.2120601</v>
      </c>
      <c r="B468" s="772">
        <f>'CB20'!$B$383</f>
        <v>0</v>
      </c>
      <c r="C468" s="772">
        <f>'CB20'!$D$383</f>
        <v>0</v>
      </c>
      <c r="D468" s="772">
        <f>'CB20'!$F$383</f>
        <v>0</v>
      </c>
      <c r="E468" s="772">
        <f>'CB20'!$H$383</f>
        <v>0</v>
      </c>
      <c r="F468" s="772">
        <f>'CB20'!$J$383</f>
        <v>0</v>
      </c>
    </row>
    <row r="469" spans="1:6">
      <c r="A469" s="11" t="str">
        <f>C1&amp;".e20.2120602"</f>
        <v>Company Code.e20.2120602</v>
      </c>
      <c r="B469" s="772">
        <f>'CB20'!$B$384</f>
        <v>0</v>
      </c>
      <c r="C469" s="772">
        <f>'CB20'!$D$384</f>
        <v>0</v>
      </c>
      <c r="D469" s="772">
        <f>'CB20'!$F$384</f>
        <v>0</v>
      </c>
      <c r="E469" s="772">
        <f>'CB20'!$H$384</f>
        <v>0</v>
      </c>
      <c r="F469" s="772">
        <f>'CB20'!$J$384</f>
        <v>0</v>
      </c>
    </row>
    <row r="470" spans="1:6">
      <c r="A470" s="11" t="str">
        <f>C1&amp;".e20.21207"</f>
        <v>Company Code.e20.21207</v>
      </c>
      <c r="B470" s="772">
        <f>'CB20'!$B$385</f>
        <v>0</v>
      </c>
      <c r="C470" s="772">
        <f>'CB20'!$D$385</f>
        <v>0</v>
      </c>
      <c r="D470" s="772">
        <f>'CB20'!$F$385</f>
        <v>0</v>
      </c>
      <c r="E470" s="772">
        <f>'CB20'!$H$385</f>
        <v>0</v>
      </c>
      <c r="F470" s="772">
        <f>'CB20'!$J$385</f>
        <v>0</v>
      </c>
    </row>
    <row r="471" spans="1:6">
      <c r="A471" s="11" t="str">
        <f>C1&amp;".e20.212"</f>
        <v>Company Code.e20.212</v>
      </c>
      <c r="B471" s="772">
        <f>'CB20'!$B$388</f>
        <v>0</v>
      </c>
      <c r="C471" s="772">
        <f>'CB20'!$D$388</f>
        <v>0</v>
      </c>
      <c r="D471" s="772">
        <f>'CB20'!$F$388</f>
        <v>0</v>
      </c>
      <c r="E471" s="772">
        <f>'CB20'!$H$388</f>
        <v>0</v>
      </c>
      <c r="F471" s="772">
        <f>'CB20'!$J$388</f>
        <v>0</v>
      </c>
    </row>
    <row r="472" spans="1:6">
      <c r="A472" s="11" t="str">
        <f>C1&amp;".e20.2402"</f>
        <v>Company Code.e20.2402</v>
      </c>
      <c r="B472" s="492">
        <f>'CB20'!$B$393</f>
        <v>0</v>
      </c>
      <c r="C472" s="492">
        <f>'CB20'!$D$393</f>
        <v>0</v>
      </c>
      <c r="D472" s="492">
        <f>'CB20'!$F$393</f>
        <v>0</v>
      </c>
      <c r="E472" s="492">
        <f>'CB20'!$H$393</f>
        <v>0</v>
      </c>
      <c r="F472" s="492">
        <f>'CB20'!$J$393</f>
        <v>0</v>
      </c>
    </row>
    <row r="473" spans="1:6">
      <c r="A473" s="11" t="str">
        <f>C1&amp;".e20.240201"</f>
        <v>Company Code.e20.240201</v>
      </c>
      <c r="B473" s="492">
        <f>'CB20'!$B$394</f>
        <v>0</v>
      </c>
      <c r="C473" s="492">
        <f>'CB20'!$D$394</f>
        <v>0</v>
      </c>
      <c r="D473" s="492">
        <f>'CB20'!$F$394</f>
        <v>0</v>
      </c>
      <c r="E473" s="492">
        <f>'CB20'!$H$394</f>
        <v>0</v>
      </c>
      <c r="F473" s="492">
        <f>'CB20'!$J$394</f>
        <v>0</v>
      </c>
    </row>
    <row r="474" spans="1:6">
      <c r="A474" s="11" t="str">
        <f>C1&amp;".e20.240202"</f>
        <v>Company Code.e20.240202</v>
      </c>
      <c r="B474" s="492">
        <f>'CB20'!$B$395</f>
        <v>0</v>
      </c>
      <c r="C474" s="492">
        <f>'CB20'!$D$395</f>
        <v>0</v>
      </c>
      <c r="D474" s="492">
        <f>'CB20'!$F$395</f>
        <v>0</v>
      </c>
      <c r="E474" s="492">
        <f>'CB20'!$H$395</f>
        <v>0</v>
      </c>
      <c r="F474" s="492">
        <f>'CB20'!$J$395</f>
        <v>0</v>
      </c>
    </row>
    <row r="475" spans="1:6">
      <c r="A475" s="11" t="str">
        <f>C1&amp;".e20.2403"</f>
        <v>Company Code.e20.2403</v>
      </c>
      <c r="B475" s="492">
        <f>'CB20'!$B$396</f>
        <v>0</v>
      </c>
      <c r="C475" s="492">
        <f>'CB20'!$D$396</f>
        <v>0</v>
      </c>
      <c r="D475" s="492">
        <f>'CB20'!$F$396</f>
        <v>0</v>
      </c>
      <c r="E475" s="492">
        <f>'CB20'!$H$396</f>
        <v>0</v>
      </c>
      <c r="F475" s="492">
        <f>'CB20'!$J$396</f>
        <v>0</v>
      </c>
    </row>
    <row r="476" spans="1:6">
      <c r="A476" s="11" t="str">
        <f>C1&amp;".e20.240301"</f>
        <v>Company Code.e20.240301</v>
      </c>
      <c r="B476" s="492">
        <f>'CB20'!$B$397</f>
        <v>0</v>
      </c>
      <c r="C476" s="492">
        <f>'CB20'!$D$397</f>
        <v>0</v>
      </c>
      <c r="D476" s="492">
        <f>'CB20'!$F$397</f>
        <v>0</v>
      </c>
      <c r="E476" s="492">
        <f>'CB20'!$H$397</f>
        <v>0</v>
      </c>
      <c r="F476" s="492">
        <f>'CB20'!$J$397</f>
        <v>0</v>
      </c>
    </row>
    <row r="477" spans="1:6">
      <c r="A477" s="11" t="str">
        <f>C1&amp;".e20.240302"</f>
        <v>Company Code.e20.240302</v>
      </c>
      <c r="B477" s="492">
        <f>'CB20'!$B$398</f>
        <v>0</v>
      </c>
      <c r="C477" s="492">
        <f>'CB20'!$D$398</f>
        <v>0</v>
      </c>
      <c r="D477" s="492">
        <f>'CB20'!$F$398</f>
        <v>0</v>
      </c>
      <c r="E477" s="492">
        <f>'CB20'!$H$398</f>
        <v>0</v>
      </c>
      <c r="F477" s="492">
        <f>'CB20'!$J$398</f>
        <v>0</v>
      </c>
    </row>
    <row r="478" spans="1:6">
      <c r="A478" s="11" t="str">
        <f>C1&amp;".e20.2409"</f>
        <v>Company Code.e20.2409</v>
      </c>
      <c r="B478" s="492">
        <f>'CB20'!$B$399</f>
        <v>0</v>
      </c>
      <c r="C478" s="492">
        <f>'CB20'!$D$399</f>
        <v>0</v>
      </c>
      <c r="D478" s="492">
        <f>'CB20'!$F$399</f>
        <v>0</v>
      </c>
      <c r="E478" s="492">
        <f>'CB20'!$H$399</f>
        <v>0</v>
      </c>
      <c r="F478" s="492">
        <f>'CB20'!$J$399</f>
        <v>0</v>
      </c>
    </row>
    <row r="479" spans="1:6">
      <c r="A479" s="11" t="str">
        <f>C1&amp;".e20.24"</f>
        <v>Company Code.e20.24</v>
      </c>
      <c r="B479" s="492">
        <f>'CB20'!$B$400</f>
        <v>0</v>
      </c>
      <c r="C479" s="492">
        <f>'CB20'!$D$400</f>
        <v>0</v>
      </c>
      <c r="D479" s="492">
        <f>'CB20'!$F$400</f>
        <v>0</v>
      </c>
      <c r="E479" s="492">
        <f>'CB20'!$H$400</f>
        <v>0</v>
      </c>
      <c r="F479" s="492">
        <f>'CB20'!$J$400</f>
        <v>0</v>
      </c>
    </row>
    <row r="480" spans="1:6">
      <c r="A480" s="11" t="str">
        <f>C1&amp;".e20.21302"</f>
        <v>Company Code.e20.21302</v>
      </c>
      <c r="B480" s="492">
        <f>'CB20'!$B$405</f>
        <v>0</v>
      </c>
      <c r="C480" s="492">
        <f>'CB20'!$D$405</f>
        <v>0</v>
      </c>
      <c r="D480" s="492">
        <f>'CB20'!$F$405</f>
        <v>0</v>
      </c>
      <c r="E480" s="492">
        <f>'CB20'!$H$405</f>
        <v>0</v>
      </c>
      <c r="F480" s="492">
        <f>'CB20'!$J$405</f>
        <v>0</v>
      </c>
    </row>
    <row r="481" spans="1:6">
      <c r="A481" s="11" t="str">
        <f>C1&amp;".e20.21303"</f>
        <v>Company Code.e20.21303</v>
      </c>
      <c r="B481" s="492">
        <f>'CB20'!$B$406</f>
        <v>0</v>
      </c>
      <c r="C481" s="492">
        <f>'CB20'!$D$406</f>
        <v>0</v>
      </c>
      <c r="D481" s="492">
        <f>'CB20'!$F$406</f>
        <v>0</v>
      </c>
      <c r="E481" s="492">
        <f>'CB20'!$H$406</f>
        <v>0</v>
      </c>
      <c r="F481" s="492">
        <f>'CB20'!$J$406</f>
        <v>0</v>
      </c>
    </row>
    <row r="482" spans="1:6">
      <c r="A482" s="11" t="str">
        <f>C1&amp;".e20.21304"</f>
        <v>Company Code.e20.21304</v>
      </c>
      <c r="B482" s="492">
        <f>'CB20'!$B$407</f>
        <v>0</v>
      </c>
      <c r="C482" s="492">
        <f>'CB20'!$D$407</f>
        <v>0</v>
      </c>
      <c r="D482" s="492">
        <f>'CB20'!$F$407</f>
        <v>0</v>
      </c>
      <c r="E482" s="492">
        <f>'CB20'!$H$407</f>
        <v>0</v>
      </c>
      <c r="F482" s="492">
        <f>'CB20'!$J$407</f>
        <v>0</v>
      </c>
    </row>
    <row r="483" spans="1:6">
      <c r="A483" s="11" t="str">
        <f>C1&amp;".e20.21305"</f>
        <v>Company Code.e20.21305</v>
      </c>
      <c r="B483" s="492">
        <f>'CB20'!$B$408</f>
        <v>0</v>
      </c>
      <c r="C483" s="492">
        <f>'CB20'!$D$408</f>
        <v>0</v>
      </c>
      <c r="D483" s="492">
        <f>'CB20'!$F$408</f>
        <v>0</v>
      </c>
      <c r="E483" s="492">
        <f>'CB20'!$H$408</f>
        <v>0</v>
      </c>
      <c r="F483" s="492">
        <f>'CB20'!$J$408</f>
        <v>0</v>
      </c>
    </row>
    <row r="484" spans="1:6">
      <c r="A484" s="11" t="str">
        <f>C1&amp;".e20.2130502"</f>
        <v>Company Code.e20.2130502</v>
      </c>
      <c r="B484" s="492">
        <f>'CB20'!$B$409</f>
        <v>0</v>
      </c>
      <c r="C484" s="492">
        <f>'CB20'!$D$409</f>
        <v>0</v>
      </c>
      <c r="D484" s="492">
        <f>'CB20'!$F$409</f>
        <v>0</v>
      </c>
      <c r="E484" s="492">
        <f>'CB20'!$H$409</f>
        <v>0</v>
      </c>
      <c r="F484" s="492">
        <f>'CB20'!$J$409</f>
        <v>0</v>
      </c>
    </row>
    <row r="485" spans="1:6">
      <c r="A485" s="11" t="str">
        <f>C1&amp;".e20.2130503"</f>
        <v>Company Code.e20.2130503</v>
      </c>
      <c r="B485" s="492">
        <f>'CB20'!$B$410</f>
        <v>0</v>
      </c>
      <c r="C485" s="492">
        <f>'CB20'!$D$410</f>
        <v>0</v>
      </c>
      <c r="D485" s="492">
        <f>'CB20'!$F$410</f>
        <v>0</v>
      </c>
      <c r="E485" s="492">
        <f>'CB20'!$H$410</f>
        <v>0</v>
      </c>
      <c r="F485" s="492">
        <f>'CB20'!$J$410</f>
        <v>0</v>
      </c>
    </row>
    <row r="486" spans="1:6">
      <c r="A486" s="11" t="str">
        <f>C1&amp;".e20.2130504"</f>
        <v>Company Code.e20.2130504</v>
      </c>
      <c r="B486" s="492">
        <f>'CB20'!$B$411</f>
        <v>0</v>
      </c>
      <c r="C486" s="492">
        <f>'CB20'!$D$411</f>
        <v>0</v>
      </c>
      <c r="D486" s="492">
        <f>'CB20'!$F$411</f>
        <v>0</v>
      </c>
      <c r="E486" s="492">
        <f>'CB20'!$H$411</f>
        <v>0</v>
      </c>
      <c r="F486" s="492">
        <f>'CB20'!$J$411</f>
        <v>0</v>
      </c>
    </row>
    <row r="487" spans="1:6">
      <c r="A487" s="11" t="str">
        <f>C1&amp;".e20.2130505"</f>
        <v>Company Code.e20.2130505</v>
      </c>
      <c r="B487" s="492">
        <f>'CB20'!$B$412</f>
        <v>0</v>
      </c>
      <c r="C487" s="492">
        <f>'CB20'!$D$412</f>
        <v>0</v>
      </c>
      <c r="D487" s="492">
        <f>'CB20'!$F$412</f>
        <v>0</v>
      </c>
      <c r="E487" s="492">
        <f>'CB20'!$H$412</f>
        <v>0</v>
      </c>
      <c r="F487" s="492">
        <f>'CB20'!$J$412</f>
        <v>0</v>
      </c>
    </row>
    <row r="488" spans="1:6">
      <c r="A488" s="11" t="str">
        <f>C1&amp;".e20.2130506"</f>
        <v>Company Code.e20.2130506</v>
      </c>
      <c r="B488" s="492">
        <f>'CB20'!$B$413</f>
        <v>0</v>
      </c>
      <c r="C488" s="492">
        <f>'CB20'!$D$413</f>
        <v>0</v>
      </c>
      <c r="D488" s="492">
        <f>'CB20'!$F$413</f>
        <v>0</v>
      </c>
      <c r="E488" s="492">
        <f>'CB20'!$H$413</f>
        <v>0</v>
      </c>
      <c r="F488" s="492">
        <f>'CB20'!$J$413</f>
        <v>0</v>
      </c>
    </row>
    <row r="489" spans="1:6">
      <c r="A489" s="11" t="str">
        <f>C1&amp;".e20.21306"</f>
        <v>Company Code.e20.21306</v>
      </c>
      <c r="B489" s="492">
        <f>'CB20'!$B$414</f>
        <v>0</v>
      </c>
      <c r="C489" s="492">
        <f>'CB20'!$D$414</f>
        <v>0</v>
      </c>
      <c r="D489" s="492">
        <f>'CB20'!$F$414</f>
        <v>0</v>
      </c>
      <c r="E489" s="492">
        <f>'CB20'!$H$414</f>
        <v>0</v>
      </c>
      <c r="F489" s="492">
        <f>'CB20'!$J$414</f>
        <v>0</v>
      </c>
    </row>
    <row r="490" spans="1:6">
      <c r="A490" s="11" t="str">
        <f>C1&amp;".e20.2130603"</f>
        <v>Company Code.e20.2130603</v>
      </c>
      <c r="B490" s="492">
        <f>'CB20'!$B$415</f>
        <v>0</v>
      </c>
      <c r="C490" s="492">
        <f>'CB20'!$D$415</f>
        <v>0</v>
      </c>
      <c r="D490" s="492">
        <f>'CB20'!$F$415</f>
        <v>0</v>
      </c>
      <c r="E490" s="492">
        <f>'CB20'!$H$415</f>
        <v>0</v>
      </c>
      <c r="F490" s="492">
        <f>'CB20'!$J$415</f>
        <v>0</v>
      </c>
    </row>
    <row r="491" spans="1:6">
      <c r="A491" s="11" t="str">
        <f>C1&amp;".e20.2130604"</f>
        <v>Company Code.e20.2130604</v>
      </c>
      <c r="B491" s="492">
        <f>'CB20'!$B$416</f>
        <v>0</v>
      </c>
      <c r="C491" s="492">
        <f>'CB20'!$D$416</f>
        <v>0</v>
      </c>
      <c r="D491" s="492">
        <f>'CB20'!$F$416</f>
        <v>0</v>
      </c>
      <c r="E491" s="492">
        <f>'CB20'!$H$416</f>
        <v>0</v>
      </c>
      <c r="F491" s="492">
        <f>'CB20'!$J$416</f>
        <v>0</v>
      </c>
    </row>
    <row r="492" spans="1:6">
      <c r="A492" s="11" t="str">
        <f>C1&amp;".e20.21308"</f>
        <v>Company Code.e20.21308</v>
      </c>
      <c r="B492" s="492">
        <f>'CB20'!$B$417</f>
        <v>0</v>
      </c>
      <c r="C492" s="492">
        <f>'CB20'!$D$417</f>
        <v>0</v>
      </c>
      <c r="D492" s="492">
        <f>'CB20'!$F$417</f>
        <v>0</v>
      </c>
      <c r="E492" s="492">
        <f>'CB20'!$H$417</f>
        <v>0</v>
      </c>
      <c r="F492" s="492">
        <f>'CB20'!$J$417</f>
        <v>0</v>
      </c>
    </row>
    <row r="493" spans="1:6">
      <c r="A493" s="11" t="str">
        <f>C1&amp;".e20.2130801"</f>
        <v>Company Code.e20.2130801</v>
      </c>
      <c r="B493" s="492">
        <f>'CB20'!$B$418</f>
        <v>0</v>
      </c>
      <c r="C493" s="492">
        <f>'CB20'!$D$418</f>
        <v>0</v>
      </c>
      <c r="D493" s="492">
        <f>'CB20'!$F$418</f>
        <v>0</v>
      </c>
      <c r="E493" s="492">
        <f>'CB20'!$H$418</f>
        <v>0</v>
      </c>
      <c r="F493" s="492">
        <f>'CB20'!$J$418</f>
        <v>0</v>
      </c>
    </row>
    <row r="494" spans="1:6">
      <c r="A494" s="11" t="str">
        <f>C1&amp;".e20.2130802"</f>
        <v>Company Code.e20.2130802</v>
      </c>
      <c r="B494" s="492">
        <f>'CB20'!$B$419</f>
        <v>0</v>
      </c>
      <c r="C494" s="492">
        <f>'CB20'!$D$419</f>
        <v>0</v>
      </c>
      <c r="D494" s="492">
        <f>'CB20'!$F$419</f>
        <v>0</v>
      </c>
      <c r="E494" s="492">
        <f>'CB20'!$H$419</f>
        <v>0</v>
      </c>
      <c r="F494" s="492">
        <f>'CB20'!$J$419</f>
        <v>0</v>
      </c>
    </row>
    <row r="495" spans="1:6">
      <c r="A495" s="11" t="str">
        <f>C1&amp;".e20.21309"</f>
        <v>Company Code.e20.21309</v>
      </c>
      <c r="B495" s="492">
        <f>'CB20'!$B$420</f>
        <v>0</v>
      </c>
      <c r="C495" s="492">
        <f>'CB20'!$D$420</f>
        <v>0</v>
      </c>
      <c r="D495" s="492">
        <f>'CB20'!$F$420</f>
        <v>0</v>
      </c>
      <c r="E495" s="492">
        <f>'CB20'!$H$420</f>
        <v>0</v>
      </c>
      <c r="F495" s="492">
        <f>'CB20'!$J$420</f>
        <v>0</v>
      </c>
    </row>
    <row r="496" spans="1:6">
      <c r="A496" s="11" t="str">
        <f>C1&amp;".e20.21311"</f>
        <v>Company Code.e20.21311</v>
      </c>
      <c r="B496" s="492">
        <f>'CB20'!$B$421</f>
        <v>0</v>
      </c>
      <c r="C496" s="492">
        <f>'CB20'!$D$421</f>
        <v>0</v>
      </c>
      <c r="D496" s="492">
        <f>'CB20'!$F$421</f>
        <v>0</v>
      </c>
      <c r="E496" s="492">
        <f>'CB20'!$H$421</f>
        <v>0</v>
      </c>
      <c r="F496" s="492">
        <f>'CB20'!$J$421</f>
        <v>0</v>
      </c>
    </row>
    <row r="497" spans="1:6">
      <c r="A497" s="11" t="str">
        <f>C1&amp;".e20.21312"</f>
        <v>Company Code.e20.21312</v>
      </c>
      <c r="B497" s="492">
        <f>'CB20'!$B$422</f>
        <v>0</v>
      </c>
      <c r="C497" s="492">
        <f>'CB20'!$D$422</f>
        <v>0</v>
      </c>
      <c r="D497" s="492">
        <f>'CB20'!$F$422</f>
        <v>0</v>
      </c>
      <c r="E497" s="492">
        <f>'CB20'!$H$422</f>
        <v>0</v>
      </c>
      <c r="F497" s="492">
        <f>'CB20'!$J$422</f>
        <v>0</v>
      </c>
    </row>
    <row r="498" spans="1:6">
      <c r="A498" s="11" t="str">
        <f>C1&amp;".e20.21313"</f>
        <v>Company Code.e20.21313</v>
      </c>
      <c r="B498" s="492">
        <f>'CB20'!$B$423</f>
        <v>0</v>
      </c>
      <c r="C498" s="492">
        <f>'CB20'!$D$423</f>
        <v>0</v>
      </c>
      <c r="D498" s="492">
        <f>'CB20'!$F$423</f>
        <v>0</v>
      </c>
      <c r="E498" s="492">
        <f>'CB20'!$H$423</f>
        <v>0</v>
      </c>
      <c r="F498" s="492">
        <f>'CB20'!$J$423</f>
        <v>0</v>
      </c>
    </row>
    <row r="499" spans="1:6">
      <c r="A499" s="11" t="str">
        <f>C1&amp;".e20.213"</f>
        <v>Company Code.e20.213</v>
      </c>
      <c r="B499" s="492">
        <f>'CB20'!$B$424</f>
        <v>0</v>
      </c>
      <c r="C499" s="492">
        <f>'CB20'!$D$424</f>
        <v>0</v>
      </c>
      <c r="D499" s="492">
        <f>'CB20'!$F$424</f>
        <v>0</v>
      </c>
      <c r="E499" s="492">
        <f>'CB20'!$H$424</f>
        <v>0</v>
      </c>
      <c r="F499" s="492">
        <f>'CB20'!$J$424</f>
        <v>0</v>
      </c>
    </row>
    <row r="500" spans="1:6">
      <c r="A500" s="11" t="str">
        <f>C1&amp;".e20.2702"</f>
        <v>Company Code.e20.2702</v>
      </c>
      <c r="B500" s="492">
        <f>'CB20'!$B$429</f>
        <v>0</v>
      </c>
      <c r="C500" s="492">
        <f>'CB20'!$D$429</f>
        <v>0</v>
      </c>
      <c r="D500" s="492">
        <f>'CB20'!$F$429</f>
        <v>0</v>
      </c>
      <c r="E500" s="492">
        <f>'CB20'!$H$429</f>
        <v>0</v>
      </c>
      <c r="F500" s="492">
        <f>'CB20'!$J$429</f>
        <v>0</v>
      </c>
    </row>
    <row r="501" spans="1:6">
      <c r="A501" s="11" t="str">
        <f>C1&amp;".e20.2703"</f>
        <v>Company Code.e20.2703</v>
      </c>
      <c r="B501" s="492">
        <f>'CB20'!$B$430</f>
        <v>0</v>
      </c>
      <c r="C501" s="492">
        <f>'CB20'!$D$430</f>
        <v>0</v>
      </c>
      <c r="D501" s="492">
        <f>'CB20'!$F$430</f>
        <v>0</v>
      </c>
      <c r="E501" s="492">
        <f>'CB20'!$H$430</f>
        <v>0</v>
      </c>
      <c r="F501" s="492">
        <f>'CB20'!$J$430</f>
        <v>0</v>
      </c>
    </row>
    <row r="502" spans="1:6">
      <c r="A502" s="11" t="str">
        <f>C1&amp;".e20.270301"</f>
        <v>Company Code.e20.270301</v>
      </c>
      <c r="B502" s="492">
        <f>'CB20'!$B$431</f>
        <v>0</v>
      </c>
      <c r="C502" s="492">
        <f>'CB20'!$D$431</f>
        <v>0</v>
      </c>
      <c r="D502" s="492">
        <f>'CB20'!$F$431</f>
        <v>0</v>
      </c>
      <c r="E502" s="492">
        <f>'CB20'!$H$431</f>
        <v>0</v>
      </c>
      <c r="F502" s="492">
        <f>'CB20'!$J$431</f>
        <v>0</v>
      </c>
    </row>
    <row r="503" spans="1:6">
      <c r="A503" s="11" t="str">
        <f>C1&amp;".e20.270302"</f>
        <v>Company Code.e20.270302</v>
      </c>
      <c r="B503" s="492">
        <f>'CB20'!$B$432</f>
        <v>0</v>
      </c>
      <c r="C503" s="492">
        <f>'CB20'!$D$432</f>
        <v>0</v>
      </c>
      <c r="D503" s="492">
        <f>'CB20'!$F$432</f>
        <v>0</v>
      </c>
      <c r="E503" s="492">
        <f>'CB20'!$H$432</f>
        <v>0</v>
      </c>
      <c r="F503" s="492">
        <f>'CB20'!$J$432</f>
        <v>0</v>
      </c>
    </row>
    <row r="504" spans="1:6">
      <c r="A504" s="11" t="str">
        <f>C1&amp;".e20.2704"</f>
        <v>Company Code.e20.2704</v>
      </c>
      <c r="B504" s="492">
        <f>'CB20'!$B$433</f>
        <v>0</v>
      </c>
      <c r="C504" s="492">
        <f>'CB20'!$D$433</f>
        <v>0</v>
      </c>
      <c r="D504" s="492">
        <f>'CB20'!$F$433</f>
        <v>0</v>
      </c>
      <c r="E504" s="492">
        <f>'CB20'!$H$433</f>
        <v>0</v>
      </c>
      <c r="F504" s="492">
        <f>'CB20'!$J$433</f>
        <v>0</v>
      </c>
    </row>
    <row r="505" spans="1:6">
      <c r="A505" s="11" t="str">
        <f>C1&amp;".e20.2705"</f>
        <v>Company Code.e20.2705</v>
      </c>
      <c r="B505" s="492">
        <f>'CB20'!$B$434</f>
        <v>0</v>
      </c>
      <c r="C505" s="492">
        <f>'CB20'!$D$434</f>
        <v>0</v>
      </c>
      <c r="D505" s="492">
        <f>'CB20'!$F$434</f>
        <v>0</v>
      </c>
      <c r="E505" s="492">
        <f>'CB20'!$H$434</f>
        <v>0</v>
      </c>
      <c r="F505" s="492">
        <f>'CB20'!$J$434</f>
        <v>0</v>
      </c>
    </row>
    <row r="506" spans="1:6">
      <c r="A506" s="11" t="str">
        <f>C1&amp;".e20.2709"</f>
        <v>Company Code.e20.2709</v>
      </c>
      <c r="B506" s="492">
        <f>'CB20'!$B$435</f>
        <v>0</v>
      </c>
      <c r="C506" s="492">
        <f>'CB20'!$D$435</f>
        <v>0</v>
      </c>
      <c r="D506" s="492">
        <f>'CB20'!$F$435</f>
        <v>0</v>
      </c>
      <c r="E506" s="492">
        <f>'CB20'!$H$435</f>
        <v>0</v>
      </c>
      <c r="F506" s="492">
        <f>'CB20'!$J$435</f>
        <v>0</v>
      </c>
    </row>
    <row r="507" spans="1:6">
      <c r="A507" s="11" t="s">
        <v>657</v>
      </c>
    </row>
    <row r="508" spans="1:6">
      <c r="A508" s="11" t="str">
        <f>C1&amp;".e20.2709_1.name"</f>
        <v>Company Code.e20.2709_1.name</v>
      </c>
      <c r="B508" s="492">
        <f>'CB20'!$A$436</f>
        <v>0</v>
      </c>
    </row>
    <row r="509" spans="1:6">
      <c r="A509" s="11" t="str">
        <f>C1&amp;".e20.2709_1.all"</f>
        <v>Company Code.e20.2709_1.all</v>
      </c>
      <c r="B509" s="492">
        <f>'CB20'!$B$436</f>
        <v>0</v>
      </c>
    </row>
    <row r="510" spans="1:6">
      <c r="A510" s="11" t="str">
        <f>C1&amp;".e20.2709_1.r.tt"</f>
        <v>Company Code.e20.2709_1.r.tt</v>
      </c>
      <c r="B510" s="492">
        <f>'CB20'!$D$436</f>
        <v>0</v>
      </c>
    </row>
    <row r="511" spans="1:6">
      <c r="A511" s="11" t="str">
        <f>C1&amp;".e20.2709_1.r.for"</f>
        <v>Company Code.e20.2709_1.r.for</v>
      </c>
      <c r="B511" s="492">
        <f>'CB20'!$F$436</f>
        <v>0</v>
      </c>
    </row>
    <row r="512" spans="1:6">
      <c r="A512" s="11" t="str">
        <f>C1&amp;".e20.2709_1.nr.tt"</f>
        <v>Company Code.e20.2709_1.nr.tt</v>
      </c>
      <c r="B512" s="492">
        <f>'CB20'!$H$436</f>
        <v>0</v>
      </c>
    </row>
    <row r="513" spans="1:2">
      <c r="A513" s="11" t="str">
        <f>C1&amp;".e20.2709_1.nr.for"</f>
        <v>Company Code.e20.2709_1.nr.for</v>
      </c>
      <c r="B513" s="492">
        <f>'CB20'!$J$436</f>
        <v>0</v>
      </c>
    </row>
    <row r="514" spans="1:2">
      <c r="A514" s="11" t="str">
        <f>C1&amp;".e20.2709_2.name"</f>
        <v>Company Code.e20.2709_2.name</v>
      </c>
      <c r="B514" s="492">
        <f>'CB20'!$A$437</f>
        <v>0</v>
      </c>
    </row>
    <row r="515" spans="1:2">
      <c r="A515" s="11" t="str">
        <f>C1&amp;".e20.2709_2.all"</f>
        <v>Company Code.e20.2709_2.all</v>
      </c>
      <c r="B515" s="492">
        <f>'CB20'!$B$437</f>
        <v>0</v>
      </c>
    </row>
    <row r="516" spans="1:2">
      <c r="A516" s="11" t="str">
        <f>C1&amp;".e20.2709_2.r.tt"</f>
        <v>Company Code.e20.2709_2.r.tt</v>
      </c>
      <c r="B516" s="492">
        <f>'CB20'!$D$437</f>
        <v>0</v>
      </c>
    </row>
    <row r="517" spans="1:2">
      <c r="A517" s="11" t="str">
        <f>C1&amp;".e20.2709_2.r.for"</f>
        <v>Company Code.e20.2709_2.r.for</v>
      </c>
      <c r="B517" s="492">
        <f>'CB20'!$F$437</f>
        <v>0</v>
      </c>
    </row>
    <row r="518" spans="1:2">
      <c r="A518" s="11" t="str">
        <f>C1&amp;".e20.2709_2.nr.tt"</f>
        <v>Company Code.e20.2709_2.nr.tt</v>
      </c>
      <c r="B518" s="492">
        <f>'CB20'!$H$437</f>
        <v>0</v>
      </c>
    </row>
    <row r="519" spans="1:2">
      <c r="A519" s="11" t="str">
        <f>C1&amp;".e20.2709_2.nr.for"</f>
        <v>Company Code.e20.2709_2.nr.for</v>
      </c>
      <c r="B519" s="492">
        <f>'CB20'!$J$437</f>
        <v>0</v>
      </c>
    </row>
    <row r="520" spans="1:2">
      <c r="A520" s="11" t="str">
        <f>C1&amp;".e20.2709_3.name"</f>
        <v>Company Code.e20.2709_3.name</v>
      </c>
      <c r="B520" s="492">
        <f>'CB20'!$A$438</f>
        <v>0</v>
      </c>
    </row>
    <row r="521" spans="1:2">
      <c r="A521" s="11" t="str">
        <f>C1&amp;".e20.2709_3.all"</f>
        <v>Company Code.e20.2709_3.all</v>
      </c>
      <c r="B521" s="492">
        <f>'CB20'!$B$438</f>
        <v>0</v>
      </c>
    </row>
    <row r="522" spans="1:2">
      <c r="A522" s="11" t="str">
        <f>C1&amp;".e20.2709_3.r.tt"</f>
        <v>Company Code.e20.2709_3.r.tt</v>
      </c>
      <c r="B522" s="492">
        <f>'CB20'!$D$438</f>
        <v>0</v>
      </c>
    </row>
    <row r="523" spans="1:2">
      <c r="A523" s="11" t="str">
        <f>C1&amp;".e20.2709_3.r.for"</f>
        <v>Company Code.e20.2709_3.r.for</v>
      </c>
      <c r="B523" s="492">
        <f>'CB20'!$F$438</f>
        <v>0</v>
      </c>
    </row>
    <row r="524" spans="1:2">
      <c r="A524" s="11" t="str">
        <f>C1&amp;".e20.2709_3.nr.tt"</f>
        <v>Company Code.e20.2709_3.nr.tt</v>
      </c>
      <c r="B524" s="492">
        <f>'CB20'!$H$438</f>
        <v>0</v>
      </c>
    </row>
    <row r="525" spans="1:2">
      <c r="A525" s="11" t="str">
        <f>C1&amp;".e20.2709_3.nr.for"</f>
        <v>Company Code.e20.2709_3.nr.for</v>
      </c>
      <c r="B525" s="492">
        <f>'CB20'!$J$438</f>
        <v>0</v>
      </c>
    </row>
    <row r="526" spans="1:2">
      <c r="A526" s="11" t="str">
        <f>C1&amp;".e20.2709_4.name"</f>
        <v>Company Code.e20.2709_4.name</v>
      </c>
      <c r="B526" s="492">
        <f>'CB20'!$A$439</f>
        <v>0</v>
      </c>
    </row>
    <row r="527" spans="1:2">
      <c r="A527" s="11" t="str">
        <f>C1&amp;".e20.2709_4.all"</f>
        <v>Company Code.e20.2709_4.all</v>
      </c>
      <c r="B527" s="492">
        <f>'CB20'!$B$439</f>
        <v>0</v>
      </c>
    </row>
    <row r="528" spans="1:2">
      <c r="A528" s="11" t="str">
        <f>C1&amp;".e20.2709_4.r.tt"</f>
        <v>Company Code.e20.2709_4.r.tt</v>
      </c>
      <c r="B528" s="492">
        <f>'CB20'!$D$439</f>
        <v>0</v>
      </c>
    </row>
    <row r="529" spans="1:6">
      <c r="A529" s="11" t="str">
        <f>C1&amp;".e20.2709_4.r.for"</f>
        <v>Company Code.e20.2709_4.r.for</v>
      </c>
      <c r="B529" s="492">
        <f>'CB20'!$F$439</f>
        <v>0</v>
      </c>
    </row>
    <row r="530" spans="1:6">
      <c r="A530" s="11" t="str">
        <f>C1&amp;".e20.2709_4.nr.tt"</f>
        <v>Company Code.e20.2709_4.nr.tt</v>
      </c>
      <c r="B530" s="492">
        <f>'CB20'!$H$439</f>
        <v>0</v>
      </c>
    </row>
    <row r="531" spans="1:6">
      <c r="A531" s="11" t="str">
        <f>C1&amp;".e20.2709_4.nr.for"</f>
        <v>Company Code.e20.2709_4.nr.for</v>
      </c>
      <c r="B531" s="492">
        <f>'CB20'!$J$439</f>
        <v>0</v>
      </c>
    </row>
    <row r="532" spans="1:6">
      <c r="A532" s="11" t="str">
        <f>C1&amp;".e20.2709_5.name"</f>
        <v>Company Code.e20.2709_5.name</v>
      </c>
      <c r="B532" s="492">
        <f>'CB20'!$A$440</f>
        <v>0</v>
      </c>
    </row>
    <row r="533" spans="1:6">
      <c r="A533" s="11" t="str">
        <f>C1&amp;".e20.2709_5.all"</f>
        <v>Company Code.e20.2709_5.all</v>
      </c>
      <c r="B533" s="492">
        <f>'CB20'!$B$440</f>
        <v>0</v>
      </c>
    </row>
    <row r="534" spans="1:6">
      <c r="A534" s="11" t="str">
        <f>C1&amp;".e20.2709_5.r.tt"</f>
        <v>Company Code.e20.2709_5.r.tt</v>
      </c>
      <c r="B534" s="492">
        <f>'CB20'!$D$440</f>
        <v>0</v>
      </c>
    </row>
    <row r="535" spans="1:6">
      <c r="A535" s="11" t="str">
        <f>C1&amp;".e20.2709_5.r.for"</f>
        <v>Company Code.e20.2709_5.r.for</v>
      </c>
      <c r="B535" s="492">
        <f>'CB20'!$F$440</f>
        <v>0</v>
      </c>
    </row>
    <row r="536" spans="1:6">
      <c r="A536" s="11" t="str">
        <f>C1&amp;".e20.2709_5.nr.tt"</f>
        <v>Company Code.e20.2709_5.nr.tt</v>
      </c>
      <c r="B536" s="492">
        <f>'CB20'!$H$440</f>
        <v>0</v>
      </c>
    </row>
    <row r="537" spans="1:6">
      <c r="A537" s="11" t="str">
        <f>C1&amp;".e20.2709_5.nr.for"</f>
        <v>Company Code.e20.2709_5.nr.for</v>
      </c>
      <c r="B537" s="492">
        <f>'CB20'!$J$440</f>
        <v>0</v>
      </c>
    </row>
    <row r="538" spans="1:6">
      <c r="A538" s="11" t="s">
        <v>658</v>
      </c>
      <c r="B538" s="493" t="s">
        <v>642</v>
      </c>
      <c r="C538" s="494" t="s">
        <v>643</v>
      </c>
      <c r="D538" s="494" t="s">
        <v>644</v>
      </c>
      <c r="E538" s="494" t="s">
        <v>645</v>
      </c>
      <c r="F538" s="494" t="s">
        <v>646</v>
      </c>
    </row>
    <row r="539" spans="1:6">
      <c r="A539" s="11" t="str">
        <f>C1&amp;".e20.27"</f>
        <v>Company Code.e20.27</v>
      </c>
      <c r="B539" s="492">
        <f>'CB20'!$B$441</f>
        <v>0</v>
      </c>
      <c r="C539" s="492">
        <f>'CB20'!$D$441</f>
        <v>0</v>
      </c>
      <c r="D539" s="492">
        <f>'CB20'!$F$441</f>
        <v>0</v>
      </c>
      <c r="E539" s="492">
        <f>'CB20'!$H$441</f>
        <v>0</v>
      </c>
      <c r="F539" s="492">
        <f>'CB20'!$J$441</f>
        <v>0</v>
      </c>
    </row>
    <row r="540" spans="1:6">
      <c r="A540" s="11" t="str">
        <f>C1&amp;".e20.7204"</f>
        <v>Company Code.e20.7204</v>
      </c>
      <c r="B540" s="492">
        <f>'CB20'!$B$446</f>
        <v>0</v>
      </c>
      <c r="C540" s="492">
        <f>'CB20'!$D$446</f>
        <v>0</v>
      </c>
      <c r="D540" s="492">
        <f>'CB20'!$F$446</f>
        <v>0</v>
      </c>
      <c r="E540" s="492">
        <f>'CB20'!$H$446</f>
        <v>0</v>
      </c>
      <c r="F540" s="492">
        <f>'CB20'!$J$446</f>
        <v>0</v>
      </c>
    </row>
    <row r="541" spans="1:6">
      <c r="A541" s="11" t="str">
        <f>C1&amp;".e20.7206"</f>
        <v>Company Code.e20.7206</v>
      </c>
      <c r="B541" s="492">
        <f>'CB20'!$B$447</f>
        <v>0</v>
      </c>
      <c r="C541" s="492">
        <f>'CB20'!$D$447</f>
        <v>0</v>
      </c>
      <c r="D541" s="492">
        <f>'CB20'!$F$447</f>
        <v>0</v>
      </c>
      <c r="E541" s="492">
        <f>'CB20'!$H$447</f>
        <v>0</v>
      </c>
      <c r="F541" s="492">
        <f>'CB20'!$J$447</f>
        <v>0</v>
      </c>
    </row>
    <row r="542" spans="1:6">
      <c r="A542" s="11" t="str">
        <f>C1&amp;".e20.7209"</f>
        <v>Company Code.e20.7209</v>
      </c>
      <c r="B542" s="492">
        <f>'CB20'!$B$448</f>
        <v>0</v>
      </c>
      <c r="C542" s="492">
        <f>'CB20'!$D$448</f>
        <v>0</v>
      </c>
      <c r="D542" s="492">
        <f>'CB20'!$F$448</f>
        <v>0</v>
      </c>
      <c r="E542" s="492">
        <f>'CB20'!$H$448</f>
        <v>0</v>
      </c>
      <c r="F542" s="492">
        <f>'CB20'!$J$448</f>
        <v>0</v>
      </c>
    </row>
    <row r="543" spans="1:6">
      <c r="A543" s="11" t="s">
        <v>659</v>
      </c>
    </row>
    <row r="544" spans="1:6">
      <c r="A544" s="11" t="str">
        <f>C1&amp;".e20.7209_1.name"</f>
        <v>Company Code.e20.7209_1.name</v>
      </c>
      <c r="B544" s="492">
        <f>'CB20'!$A$449</f>
        <v>0</v>
      </c>
    </row>
    <row r="545" spans="1:2">
      <c r="A545" s="11" t="str">
        <f>C1&amp;".e20.7209_1.all"</f>
        <v>Company Code.e20.7209_1.all</v>
      </c>
      <c r="B545" s="492">
        <f>'CB20'!$B$449</f>
        <v>0</v>
      </c>
    </row>
    <row r="546" spans="1:2">
      <c r="A546" s="11" t="str">
        <f>C1&amp;".e20.7209_1.r.tt"</f>
        <v>Company Code.e20.7209_1.r.tt</v>
      </c>
      <c r="B546" s="492">
        <f>'CB20'!$D$449</f>
        <v>0</v>
      </c>
    </row>
    <row r="547" spans="1:2">
      <c r="A547" s="11" t="str">
        <f>C1&amp;".e20.7209_1.r.for"</f>
        <v>Company Code.e20.7209_1.r.for</v>
      </c>
      <c r="B547" s="492">
        <f>'CB20'!$F$449</f>
        <v>0</v>
      </c>
    </row>
    <row r="548" spans="1:2">
      <c r="A548" s="11" t="str">
        <f>C1&amp;".e20.7209_1.nr.tt"</f>
        <v>Company Code.e20.7209_1.nr.tt</v>
      </c>
      <c r="B548" s="492">
        <f>'CB20'!$H$449</f>
        <v>0</v>
      </c>
    </row>
    <row r="549" spans="1:2">
      <c r="A549" s="11" t="str">
        <f>C1&amp;".e20.7209_1.nr.for"</f>
        <v>Company Code.e20.7209_1.nr.for</v>
      </c>
      <c r="B549" s="492">
        <f>'CB20'!$J$449</f>
        <v>0</v>
      </c>
    </row>
    <row r="550" spans="1:2">
      <c r="A550" s="11" t="str">
        <f>C1&amp;".e20.7209_2.name"</f>
        <v>Company Code.e20.7209_2.name</v>
      </c>
      <c r="B550" s="492">
        <f>'CB20'!$A$450</f>
        <v>0</v>
      </c>
    </row>
    <row r="551" spans="1:2">
      <c r="A551" s="11" t="str">
        <f>C1&amp;".e20.7209_2.all"</f>
        <v>Company Code.e20.7209_2.all</v>
      </c>
      <c r="B551" s="492">
        <f>'CB20'!$B$450</f>
        <v>0</v>
      </c>
    </row>
    <row r="552" spans="1:2">
      <c r="A552" s="11" t="str">
        <f>C1&amp;".e20.7209_2.r.tt"</f>
        <v>Company Code.e20.7209_2.r.tt</v>
      </c>
      <c r="B552" s="492">
        <f>'CB20'!$D$450</f>
        <v>0</v>
      </c>
    </row>
    <row r="553" spans="1:2">
      <c r="A553" s="11" t="str">
        <f>C1&amp;".e20.7209_2.r.for"</f>
        <v>Company Code.e20.7209_2.r.for</v>
      </c>
      <c r="B553" s="492">
        <f>'CB20'!$F$450</f>
        <v>0</v>
      </c>
    </row>
    <row r="554" spans="1:2">
      <c r="A554" s="11" t="str">
        <f>C1&amp;".e20.7209_2.nr.tt"</f>
        <v>Company Code.e20.7209_2.nr.tt</v>
      </c>
      <c r="B554" s="492">
        <f>'CB20'!$H$450</f>
        <v>0</v>
      </c>
    </row>
    <row r="555" spans="1:2">
      <c r="A555" s="11" t="str">
        <f>C1&amp;".e20.7209_2.nr.for"</f>
        <v>Company Code.e20.7209_2.nr.for</v>
      </c>
      <c r="B555" s="492">
        <f>'CB20'!$J$450</f>
        <v>0</v>
      </c>
    </row>
    <row r="556" spans="1:2">
      <c r="A556" s="11" t="str">
        <f>C1&amp;".e20.7209_3.name"</f>
        <v>Company Code.e20.7209_3.name</v>
      </c>
      <c r="B556" s="492">
        <f>'CB20'!$A$451</f>
        <v>0</v>
      </c>
    </row>
    <row r="557" spans="1:2">
      <c r="A557" s="11" t="str">
        <f>C1&amp;".e20.7209_3.all"</f>
        <v>Company Code.e20.7209_3.all</v>
      </c>
      <c r="B557" s="492">
        <f>'CB20'!$B$451</f>
        <v>0</v>
      </c>
    </row>
    <row r="558" spans="1:2">
      <c r="A558" s="11" t="str">
        <f>C1&amp;".e20.7209_3.r.tt"</f>
        <v>Company Code.e20.7209_3.r.tt</v>
      </c>
      <c r="B558" s="492">
        <f>'CB20'!$D$451</f>
        <v>0</v>
      </c>
    </row>
    <row r="559" spans="1:2">
      <c r="A559" s="11" t="str">
        <f>C1&amp;".e20.7209_3.r.for"</f>
        <v>Company Code.e20.7209_3.r.for</v>
      </c>
      <c r="B559" s="492">
        <f>'CB20'!$F$451</f>
        <v>0</v>
      </c>
    </row>
    <row r="560" spans="1:2">
      <c r="A560" s="11" t="str">
        <f>C1&amp;".e20.7209_3.nr.tt"</f>
        <v>Company Code.e20.7209_3.nr.tt</v>
      </c>
      <c r="B560" s="492">
        <f>'CB20'!$H$451</f>
        <v>0</v>
      </c>
    </row>
    <row r="561" spans="1:6">
      <c r="A561" s="11" t="str">
        <f>C1&amp;".e20.7209_3.nr.for"</f>
        <v>Company Code.e20.7209_3.nr.for</v>
      </c>
      <c r="B561" s="492">
        <f>'CB20'!$J$451</f>
        <v>0</v>
      </c>
    </row>
    <row r="562" spans="1:6">
      <c r="A562" s="11" t="s">
        <v>660</v>
      </c>
      <c r="B562" s="493" t="s">
        <v>642</v>
      </c>
      <c r="C562" s="494" t="s">
        <v>643</v>
      </c>
      <c r="D562" s="494" t="s">
        <v>644</v>
      </c>
      <c r="E562" s="494" t="s">
        <v>645</v>
      </c>
      <c r="F562" s="494" t="s">
        <v>646</v>
      </c>
    </row>
    <row r="563" spans="1:6">
      <c r="A563" s="11" t="str">
        <f>C1&amp;".e20.72"</f>
        <v>Company Code.e20.72</v>
      </c>
      <c r="B563" s="492">
        <f>'CB20'!$B$452</f>
        <v>0</v>
      </c>
      <c r="C563" s="492">
        <f>'CB20'!$D$452</f>
        <v>0</v>
      </c>
      <c r="D563" s="492">
        <f>'CB20'!$F$452</f>
        <v>0</v>
      </c>
      <c r="E563" s="492">
        <f>'CB20'!$H$452</f>
        <v>0</v>
      </c>
      <c r="F563" s="492">
        <f>'CB20'!$J$452</f>
        <v>0</v>
      </c>
    </row>
    <row r="564" spans="1:6">
      <c r="A564" s="11" t="str">
        <f>C1&amp;".e20.8101"</f>
        <v>Company Code.e20.8101</v>
      </c>
      <c r="B564" s="492">
        <f>'CB20'!$B$457</f>
        <v>0</v>
      </c>
      <c r="C564" s="492">
        <f>'CB20'!$D$457</f>
        <v>0</v>
      </c>
      <c r="D564" s="492">
        <f>'CB20'!$F$457</f>
        <v>0</v>
      </c>
      <c r="E564" s="492">
        <f>'CB20'!$H$457</f>
        <v>0</v>
      </c>
      <c r="F564" s="492">
        <f>'CB20'!$J$457</f>
        <v>0</v>
      </c>
    </row>
    <row r="565" spans="1:6">
      <c r="A565" s="11" t="str">
        <f>C1&amp;".e20.8102"</f>
        <v>Company Code.e20.8102</v>
      </c>
      <c r="B565" s="492">
        <f>'CB20'!$B$458</f>
        <v>0</v>
      </c>
      <c r="C565" s="492">
        <f>'CB20'!$D$458</f>
        <v>0</v>
      </c>
      <c r="D565" s="492">
        <f>'CB20'!$F$458</f>
        <v>0</v>
      </c>
      <c r="E565" s="492">
        <f>'CB20'!$H$458</f>
        <v>0</v>
      </c>
      <c r="F565" s="492">
        <f>'CB20'!$J$458</f>
        <v>0</v>
      </c>
    </row>
    <row r="566" spans="1:6">
      <c r="A566" s="11" t="str">
        <f>C1&amp;".e20.8103"</f>
        <v>Company Code.e20.8103</v>
      </c>
      <c r="B566" s="492">
        <f>'CB20'!$B$459</f>
        <v>0</v>
      </c>
      <c r="C566" s="492">
        <f>'CB20'!$D$459</f>
        <v>0</v>
      </c>
      <c r="D566" s="492">
        <f>'CB20'!$F$459</f>
        <v>0</v>
      </c>
      <c r="E566" s="492">
        <f>'CB20'!$H$459</f>
        <v>0</v>
      </c>
      <c r="F566" s="492">
        <f>'CB20'!$J$459</f>
        <v>0</v>
      </c>
    </row>
    <row r="567" spans="1:6">
      <c r="A567" s="11" t="str">
        <f>C1&amp;".e20.810301"</f>
        <v>Company Code.e20.810301</v>
      </c>
      <c r="B567" s="492">
        <f>'CB20'!$B$460</f>
        <v>0</v>
      </c>
      <c r="C567" s="492">
        <f>'CB20'!$D$460</f>
        <v>0</v>
      </c>
      <c r="D567" s="492">
        <f>'CB20'!$F$460</f>
        <v>0</v>
      </c>
      <c r="E567" s="492">
        <f>'CB20'!$H$460</f>
        <v>0</v>
      </c>
      <c r="F567" s="492">
        <f>'CB20'!$J$460</f>
        <v>0</v>
      </c>
    </row>
    <row r="568" spans="1:6">
      <c r="A568" s="11" t="str">
        <f>C1&amp;".e20.81030101"</f>
        <v>Company Code.e20.81030101</v>
      </c>
      <c r="B568" s="492">
        <f>'CB20'!$B$461</f>
        <v>0</v>
      </c>
      <c r="C568" s="492">
        <f>'CB20'!$D$461</f>
        <v>0</v>
      </c>
      <c r="D568" s="492">
        <f>'CB20'!$F$461</f>
        <v>0</v>
      </c>
      <c r="E568" s="492">
        <f>'CB20'!$H$461</f>
        <v>0</v>
      </c>
      <c r="F568" s="492">
        <f>'CB20'!$J$461</f>
        <v>0</v>
      </c>
    </row>
    <row r="569" spans="1:6">
      <c r="A569" s="11" t="str">
        <f>C1&amp;".e20.81030102"</f>
        <v>Company Code.e20.81030102</v>
      </c>
      <c r="B569" s="492">
        <f>'CB20'!$B$462</f>
        <v>0</v>
      </c>
      <c r="C569" s="492">
        <f>'CB20'!$D$462</f>
        <v>0</v>
      </c>
      <c r="D569" s="492">
        <f>'CB20'!$F$462</f>
        <v>0</v>
      </c>
      <c r="E569" s="492">
        <f>'CB20'!$H$462</f>
        <v>0</v>
      </c>
      <c r="F569" s="492">
        <f>'CB20'!$J$462</f>
        <v>0</v>
      </c>
    </row>
    <row r="570" spans="1:6">
      <c r="A570" s="11" t="str">
        <f>C1&amp;".e20.81030103"</f>
        <v>Company Code.e20.81030103</v>
      </c>
      <c r="B570" s="492">
        <f>'CB20'!$B$463</f>
        <v>0</v>
      </c>
      <c r="C570" s="492">
        <f>'CB20'!$D$463</f>
        <v>0</v>
      </c>
      <c r="D570" s="492">
        <f>'CB20'!$F$463</f>
        <v>0</v>
      </c>
      <c r="E570" s="492">
        <f>'CB20'!$H$463</f>
        <v>0</v>
      </c>
      <c r="F570" s="492">
        <f>'CB20'!$J$463</f>
        <v>0</v>
      </c>
    </row>
    <row r="571" spans="1:6">
      <c r="A571" s="11" t="str">
        <f>C1&amp;".e20.810302"</f>
        <v>Company Code.e20.810302</v>
      </c>
      <c r="B571" s="492">
        <f>'CB20'!$B$464</f>
        <v>0</v>
      </c>
      <c r="C571" s="492">
        <f>'CB20'!$D$464</f>
        <v>0</v>
      </c>
      <c r="D571" s="492">
        <f>'CB20'!$F$464</f>
        <v>0</v>
      </c>
      <c r="E571" s="492">
        <f>'CB20'!$H$464</f>
        <v>0</v>
      </c>
      <c r="F571" s="492">
        <f>'CB20'!$J$464</f>
        <v>0</v>
      </c>
    </row>
    <row r="572" spans="1:6">
      <c r="A572" s="11" t="str">
        <f>C1&amp;".e20.81030201"</f>
        <v>Company Code.e20.81030201</v>
      </c>
      <c r="B572" s="492">
        <f>'CB20'!$B$465</f>
        <v>0</v>
      </c>
      <c r="C572" s="492">
        <f>'CB20'!$D$465</f>
        <v>0</v>
      </c>
      <c r="D572" s="492">
        <f>'CB20'!$F$465</f>
        <v>0</v>
      </c>
      <c r="E572" s="492">
        <f>'CB20'!$H$465</f>
        <v>0</v>
      </c>
      <c r="F572" s="492">
        <f>'CB20'!$J$465</f>
        <v>0</v>
      </c>
    </row>
    <row r="573" spans="1:6">
      <c r="A573" s="11" t="str">
        <f>C1&amp;".e20.81030202"</f>
        <v>Company Code.e20.81030202</v>
      </c>
      <c r="B573" s="492">
        <f>'CB20'!$B$466</f>
        <v>0</v>
      </c>
      <c r="C573" s="492">
        <f>'CB20'!$D$466</f>
        <v>0</v>
      </c>
      <c r="D573" s="492">
        <f>'CB20'!$F$466</f>
        <v>0</v>
      </c>
      <c r="E573" s="492">
        <f>'CB20'!$H$466</f>
        <v>0</v>
      </c>
      <c r="F573" s="492">
        <f>'CB20'!$J$466</f>
        <v>0</v>
      </c>
    </row>
    <row r="574" spans="1:6">
      <c r="A574" s="11" t="str">
        <f>C1&amp;".e20.81030203"</f>
        <v>Company Code.e20.81030203</v>
      </c>
      <c r="B574" s="492">
        <f>'CB20'!$B$467</f>
        <v>0</v>
      </c>
      <c r="C574" s="492">
        <f>'CB20'!$D$467</f>
        <v>0</v>
      </c>
      <c r="D574" s="492">
        <f>'CB20'!$F$467</f>
        <v>0</v>
      </c>
      <c r="E574" s="492">
        <f>'CB20'!$H$467</f>
        <v>0</v>
      </c>
      <c r="F574" s="492">
        <f>'CB20'!$J$467</f>
        <v>0</v>
      </c>
    </row>
    <row r="575" spans="1:6">
      <c r="A575" s="11" t="str">
        <f>C1&amp;".e20.810303"</f>
        <v>Company Code.e20.810303</v>
      </c>
      <c r="B575" s="492">
        <f>'CB20'!$B$468</f>
        <v>0</v>
      </c>
      <c r="C575" s="492">
        <f>'CB20'!$D$468</f>
        <v>0</v>
      </c>
      <c r="D575" s="492">
        <f>'CB20'!$F$468</f>
        <v>0</v>
      </c>
      <c r="E575" s="492">
        <f>'CB20'!$H$468</f>
        <v>0</v>
      </c>
      <c r="F575" s="492">
        <f>'CB20'!$J$468</f>
        <v>0</v>
      </c>
    </row>
    <row r="576" spans="1:6">
      <c r="A576" s="11" t="str">
        <f>C1&amp;".e20.81030301"</f>
        <v>Company Code.e20.81030301</v>
      </c>
      <c r="B576" s="492">
        <f>'CB20'!$B$469</f>
        <v>0</v>
      </c>
      <c r="C576" s="492">
        <f>'CB20'!$D$469</f>
        <v>0</v>
      </c>
      <c r="D576" s="492">
        <f>'CB20'!$F$469</f>
        <v>0</v>
      </c>
      <c r="E576" s="492">
        <f>'CB20'!$H$469</f>
        <v>0</v>
      </c>
      <c r="F576" s="492">
        <f>'CB20'!$J$469</f>
        <v>0</v>
      </c>
    </row>
    <row r="577" spans="1:9">
      <c r="A577" s="11" t="str">
        <f>C1&amp;".e20.81030302"</f>
        <v>Company Code.e20.81030302</v>
      </c>
      <c r="B577" s="492">
        <f>'CB20'!$B$470</f>
        <v>0</v>
      </c>
      <c r="C577" s="492">
        <f>'CB20'!$D$470</f>
        <v>0</v>
      </c>
      <c r="D577" s="492">
        <f>'CB20'!$F$470</f>
        <v>0</v>
      </c>
      <c r="E577" s="492">
        <f>'CB20'!$H$470</f>
        <v>0</v>
      </c>
      <c r="F577" s="492">
        <f>'CB20'!$J$470</f>
        <v>0</v>
      </c>
    </row>
    <row r="578" spans="1:9">
      <c r="A578" s="11" t="str">
        <f>C1&amp;".e20.81030303"</f>
        <v>Company Code.e20.81030303</v>
      </c>
      <c r="B578" s="492">
        <f>'CB20'!$B$471</f>
        <v>0</v>
      </c>
      <c r="C578" s="492">
        <f>'CB20'!$D$471</f>
        <v>0</v>
      </c>
      <c r="D578" s="492">
        <f>'CB20'!$F$471</f>
        <v>0</v>
      </c>
      <c r="E578" s="492">
        <f>'CB20'!$H$471</f>
        <v>0</v>
      </c>
      <c r="F578" s="492">
        <f>'CB20'!$J$471</f>
        <v>0</v>
      </c>
    </row>
    <row r="579" spans="1:9">
      <c r="A579" s="11" t="str">
        <f>C1&amp;".e20.8104"</f>
        <v>Company Code.e20.8104</v>
      </c>
      <c r="B579" s="492">
        <f>'CB20'!$B$472</f>
        <v>0</v>
      </c>
      <c r="C579" s="492">
        <f>'CB20'!$D$472</f>
        <v>0</v>
      </c>
      <c r="D579" s="492">
        <f>'CB20'!$F$472</f>
        <v>0</v>
      </c>
      <c r="E579" s="802"/>
      <c r="F579" s="802"/>
    </row>
    <row r="580" spans="1:9">
      <c r="A580" s="11" t="str">
        <f>C1&amp;".e20.810401"</f>
        <v>Company Code.e20.810401</v>
      </c>
      <c r="B580" s="492">
        <f>'CB20'!$B$473</f>
        <v>0</v>
      </c>
      <c r="C580" s="492">
        <f>'CB20'!$D$473</f>
        <v>0</v>
      </c>
      <c r="D580" s="492">
        <f>'CB20'!$F$473</f>
        <v>0</v>
      </c>
      <c r="E580" s="802"/>
      <c r="F580" s="802"/>
    </row>
    <row r="581" spans="1:9">
      <c r="A581" s="11" t="str">
        <f>C1&amp;".e20.8105"</f>
        <v>Company Code.e20.8105</v>
      </c>
      <c r="B581" s="549">
        <f>'CB20'!$B$474</f>
        <v>0</v>
      </c>
      <c r="C581" s="549">
        <f>'CB20'!$D$474</f>
        <v>0</v>
      </c>
      <c r="D581" s="549">
        <f>'CB20'!$F$474</f>
        <v>0</v>
      </c>
      <c r="E581" s="549">
        <f>'CB20'!$H$474</f>
        <v>0</v>
      </c>
      <c r="F581" s="549">
        <f>'CB20'!$J$474</f>
        <v>0</v>
      </c>
    </row>
    <row r="582" spans="1:9">
      <c r="A582" s="11" t="str">
        <f>C1&amp;".e20.810501"</f>
        <v>Company Code.e20.810501</v>
      </c>
      <c r="B582" s="492">
        <f>'CB20'!$B$475</f>
        <v>0</v>
      </c>
      <c r="C582" s="492">
        <f>'CB20'!$D$475</f>
        <v>0</v>
      </c>
      <c r="D582" s="492">
        <f>'CB20'!$F$475</f>
        <v>0</v>
      </c>
      <c r="E582" s="492">
        <f>'CB20'!$H$475</f>
        <v>0</v>
      </c>
      <c r="F582" s="492">
        <f>'CB20'!$J$475</f>
        <v>0</v>
      </c>
    </row>
    <row r="583" spans="1:9">
      <c r="A583" s="11" t="str">
        <f>C1&amp;".e20.8108"</f>
        <v>Company Code.e20.8108</v>
      </c>
      <c r="B583" s="492">
        <f>'CB20'!$B$476</f>
        <v>0</v>
      </c>
      <c r="C583" s="492">
        <f>'CB20'!$D$476</f>
        <v>0</v>
      </c>
      <c r="D583" s="492">
        <f>'CB20'!$F$476</f>
        <v>0</v>
      </c>
      <c r="E583" s="492">
        <f>'CB20'!$H$476</f>
        <v>0</v>
      </c>
      <c r="F583" s="492">
        <f>'CB20'!$J$476</f>
        <v>0</v>
      </c>
    </row>
    <row r="584" spans="1:9">
      <c r="A584" s="11" t="str">
        <f>C1&amp;".e20.810801"</f>
        <v>Company Code.e20.810801</v>
      </c>
      <c r="B584" s="492">
        <f>'CB20'!$B$477</f>
        <v>0</v>
      </c>
      <c r="C584" s="492">
        <f>'CB20'!$D$477</f>
        <v>0</v>
      </c>
      <c r="D584" s="492">
        <f>'CB20'!$F$477</f>
        <v>0</v>
      </c>
      <c r="E584" s="492">
        <f>'CB20'!$H$477</f>
        <v>0</v>
      </c>
      <c r="F584" s="492">
        <f>'CB20'!$J$477</f>
        <v>0</v>
      </c>
    </row>
    <row r="585" spans="1:9">
      <c r="A585" s="11" t="str">
        <f>C1&amp;".e20.810802"</f>
        <v>Company Code.e20.810802</v>
      </c>
      <c r="B585" s="492">
        <f>'CB20'!$B$478</f>
        <v>0</v>
      </c>
      <c r="C585" s="492">
        <f>'CB20'!$D$478</f>
        <v>0</v>
      </c>
      <c r="D585" s="492">
        <f>'CB20'!$F$478</f>
        <v>0</v>
      </c>
      <c r="E585" s="492">
        <f>'CB20'!$H$478</f>
        <v>0</v>
      </c>
      <c r="F585" s="492">
        <f>'CB20'!$J$478</f>
        <v>0</v>
      </c>
    </row>
    <row r="586" spans="1:9">
      <c r="A586" s="11" t="s">
        <v>661</v>
      </c>
      <c r="B586" s="493" t="s">
        <v>662</v>
      </c>
      <c r="C586" s="494" t="s">
        <v>663</v>
      </c>
    </row>
    <row r="587" spans="1:9">
      <c r="A587" s="11" t="str">
        <f>C1&amp;".e20.8109"</f>
        <v>Company Code.e20.8109</v>
      </c>
      <c r="B587" s="495">
        <f>'CB20'!$H$482</f>
        <v>0</v>
      </c>
      <c r="C587" s="495">
        <f>'CB20'!$J$482</f>
        <v>0</v>
      </c>
    </row>
    <row r="588" spans="1:9">
      <c r="A588" s="11" t="str">
        <f>C1&amp;".e20.810901"</f>
        <v>Company Code.e20.810901</v>
      </c>
      <c r="B588" s="495">
        <f>'CB20'!$H$483</f>
        <v>0</v>
      </c>
      <c r="C588" s="495">
        <f>'CB20'!$J$483</f>
        <v>0</v>
      </c>
    </row>
    <row r="589" spans="1:9">
      <c r="A589" s="11" t="str">
        <f>C1&amp;".e20.810902"</f>
        <v>Company Code.e20.810902</v>
      </c>
      <c r="B589" s="495">
        <f>'CB20'!$H$484</f>
        <v>0</v>
      </c>
      <c r="C589" s="495">
        <f>'CB20'!$J$484</f>
        <v>0</v>
      </c>
    </row>
    <row r="590" spans="1:9">
      <c r="A590" s="11" t="s">
        <v>664</v>
      </c>
      <c r="B590" s="493" t="s">
        <v>665</v>
      </c>
      <c r="C590" s="494" t="s">
        <v>666</v>
      </c>
      <c r="D590" s="494" t="s">
        <v>667</v>
      </c>
      <c r="E590" s="494" t="s">
        <v>668</v>
      </c>
      <c r="F590" s="494" t="s">
        <v>669</v>
      </c>
      <c r="G590" s="494" t="s">
        <v>670</v>
      </c>
      <c r="H590" s="496" t="s">
        <v>671</v>
      </c>
      <c r="I590" s="496" t="s">
        <v>672</v>
      </c>
    </row>
    <row r="591" spans="1:9">
      <c r="A591" s="11" t="str">
        <f>C1&amp;".e20.811010"</f>
        <v>Company Code.e20.811010</v>
      </c>
      <c r="B591" s="495">
        <f>'CB20'!$D$488</f>
        <v>0</v>
      </c>
      <c r="C591" s="495">
        <f>'CB20'!$F$488</f>
        <v>0</v>
      </c>
      <c r="D591" s="495">
        <f>'CB20'!$H$488</f>
        <v>0</v>
      </c>
      <c r="E591" s="495">
        <f>'CB20'!$J$488</f>
        <v>0</v>
      </c>
      <c r="F591" s="495">
        <f>'CB20'!$D$493</f>
        <v>0</v>
      </c>
      <c r="G591" s="495">
        <f>'CB20'!$F$493</f>
        <v>0</v>
      </c>
      <c r="H591" s="495">
        <f>'CB20'!$H$493</f>
        <v>0</v>
      </c>
      <c r="I591" s="495">
        <f>'CB20'!$J$493</f>
        <v>0</v>
      </c>
    </row>
    <row r="592" spans="1:9">
      <c r="A592" s="11" t="str">
        <f>C1&amp;".e20.811013"</f>
        <v>Company Code.e20.811013</v>
      </c>
      <c r="B592" s="495">
        <f>'CB20'!$D$489</f>
        <v>0</v>
      </c>
      <c r="C592" s="495">
        <f>'CB20'!$F$489</f>
        <v>0</v>
      </c>
      <c r="D592" s="495">
        <f>'CB20'!$H$489</f>
        <v>0</v>
      </c>
      <c r="E592" s="495">
        <f>'CB20'!$J$489</f>
        <v>0</v>
      </c>
      <c r="F592" s="495">
        <f>'CB20'!$D$494</f>
        <v>0</v>
      </c>
      <c r="G592" s="495">
        <f>'CB20'!$F$494</f>
        <v>0</v>
      </c>
      <c r="H592" s="495">
        <f>'CB20'!$H$494</f>
        <v>0</v>
      </c>
      <c r="I592" s="495">
        <f>'CB20'!$J$494</f>
        <v>0</v>
      </c>
    </row>
    <row r="593" spans="1:12">
      <c r="A593" s="11" t="str">
        <f>C1&amp;".e20.8110"</f>
        <v>Company Code.e20.8110</v>
      </c>
      <c r="B593" s="495">
        <f>'CB20'!$D$490</f>
        <v>0</v>
      </c>
      <c r="C593" s="495">
        <f>'CB20'!$F$490</f>
        <v>0</v>
      </c>
      <c r="D593" s="495">
        <f>'CB20'!$H$490</f>
        <v>0</v>
      </c>
      <c r="E593" s="495">
        <f>'CB20'!$J$490</f>
        <v>0</v>
      </c>
      <c r="F593" s="495">
        <f>'CB20'!$D$495</f>
        <v>0</v>
      </c>
      <c r="G593" s="495">
        <f>'CB20'!$F$495</f>
        <v>0</v>
      </c>
      <c r="H593" s="495">
        <f>'CB20'!$H$495</f>
        <v>0</v>
      </c>
      <c r="I593" s="495">
        <f>'CB20'!$J$495</f>
        <v>0</v>
      </c>
    </row>
    <row r="594" spans="1:12">
      <c r="A594" s="11" t="s">
        <v>673</v>
      </c>
      <c r="B594" s="493" t="s">
        <v>642</v>
      </c>
      <c r="C594" s="784" t="s">
        <v>846</v>
      </c>
      <c r="D594" s="784" t="s">
        <v>847</v>
      </c>
      <c r="E594" s="784" t="s">
        <v>1229</v>
      </c>
      <c r="F594" s="784" t="s">
        <v>1230</v>
      </c>
      <c r="G594" s="497" t="s">
        <v>1231</v>
      </c>
      <c r="H594"/>
      <c r="K594" s="492"/>
      <c r="L594" s="492"/>
    </row>
    <row r="595" spans="1:12">
      <c r="A595" s="11" t="str">
        <f>C1&amp;".e20.811201"</f>
        <v>Company Code.e20.811201</v>
      </c>
      <c r="B595" s="492">
        <f>'CB20'!$B$499</f>
        <v>0</v>
      </c>
      <c r="C595" s="765">
        <f>'CB20'!$D$499</f>
        <v>0</v>
      </c>
      <c r="D595" s="495">
        <f>'CB20'!$F$499</f>
        <v>0</v>
      </c>
      <c r="E595" s="492">
        <f>'CB20'!$H$499</f>
        <v>0</v>
      </c>
      <c r="F595" s="492">
        <f>'CB20'!$J$499</f>
        <v>0</v>
      </c>
      <c r="G595" s="492">
        <f>'CB20'!$L$499</f>
        <v>0</v>
      </c>
      <c r="H595"/>
      <c r="K595" s="492"/>
      <c r="L595" s="492"/>
    </row>
    <row r="596" spans="1:12">
      <c r="A596" s="11" t="str">
        <f>C1&amp;".e20.811202"</f>
        <v>Company Code.e20.811202</v>
      </c>
      <c r="B596" s="492">
        <f>'CB20'!$B$500</f>
        <v>0</v>
      </c>
      <c r="C596" s="765">
        <f>'CB20'!$D$500</f>
        <v>0</v>
      </c>
      <c r="D596" s="495">
        <f>'CB20'!$F$500</f>
        <v>0</v>
      </c>
      <c r="E596" s="492">
        <f>'CB20'!$H$500</f>
        <v>0</v>
      </c>
      <c r="F596" s="492">
        <f>'CB20'!$J$500</f>
        <v>0</v>
      </c>
      <c r="G596" s="492">
        <f>'CB20'!$L$500</f>
        <v>0</v>
      </c>
      <c r="H596"/>
      <c r="K596" s="492"/>
      <c r="L596" s="492"/>
    </row>
    <row r="597" spans="1:12">
      <c r="A597" s="11" t="str">
        <f>C1&amp;".e20.811203"</f>
        <v>Company Code.e20.811203</v>
      </c>
      <c r="B597" s="492">
        <f>'CB20'!$B$501</f>
        <v>0</v>
      </c>
      <c r="C597" s="765">
        <f>'CB20'!$D$501</f>
        <v>0</v>
      </c>
      <c r="D597" s="495">
        <f>'CB20'!$F$501</f>
        <v>0</v>
      </c>
      <c r="E597" s="492">
        <f>'CB20'!$H$501</f>
        <v>0</v>
      </c>
      <c r="F597" s="492">
        <f>'CB20'!$J$501</f>
        <v>0</v>
      </c>
      <c r="G597" s="492">
        <f>'CB20'!$L$501</f>
        <v>0</v>
      </c>
      <c r="H597"/>
      <c r="K597" s="492"/>
      <c r="L597" s="492"/>
    </row>
    <row r="598" spans="1:12">
      <c r="A598" s="11" t="str">
        <f>C1&amp;".e20.81120301"</f>
        <v>Company Code.e20.81120301</v>
      </c>
      <c r="B598" s="492">
        <f>'CB20'!$B$502</f>
        <v>0</v>
      </c>
      <c r="C598" s="765">
        <f>'CB20'!$D$502</f>
        <v>0</v>
      </c>
      <c r="D598" s="495">
        <f>'CB20'!$F$502</f>
        <v>0</v>
      </c>
      <c r="E598" s="492">
        <f>'CB20'!$H$502</f>
        <v>0</v>
      </c>
      <c r="F598" s="492">
        <f>'CB20'!$J$502</f>
        <v>0</v>
      </c>
      <c r="G598" s="492">
        <f>'CB20'!$L$502</f>
        <v>0</v>
      </c>
      <c r="H598"/>
      <c r="K598" s="492"/>
      <c r="L598" s="492"/>
    </row>
    <row r="599" spans="1:12">
      <c r="A599" s="11" t="str">
        <f>C1&amp;".e20.81120302"</f>
        <v>Company Code.e20.81120302</v>
      </c>
      <c r="B599" s="492">
        <f>'CB20'!$B$503</f>
        <v>0</v>
      </c>
      <c r="C599" s="765">
        <f>'CB20'!$D$503</f>
        <v>0</v>
      </c>
      <c r="D599" s="495">
        <f>'CB20'!$F$503</f>
        <v>0</v>
      </c>
      <c r="E599" s="492">
        <f>'CB20'!$H$503</f>
        <v>0</v>
      </c>
      <c r="F599" s="492">
        <f>'CB20'!$J$503</f>
        <v>0</v>
      </c>
      <c r="G599" s="492">
        <f>'CB20'!$L$503</f>
        <v>0</v>
      </c>
      <c r="H599"/>
      <c r="K599" s="492"/>
      <c r="L599" s="492"/>
    </row>
    <row r="600" spans="1:12">
      <c r="A600" s="11" t="str">
        <f>C1&amp;".e20.81120303"</f>
        <v>Company Code.e20.81120303</v>
      </c>
      <c r="B600" s="492">
        <f>'CB20'!$B$504</f>
        <v>0</v>
      </c>
      <c r="C600" s="765">
        <f>'CB20'!$D$504</f>
        <v>0</v>
      </c>
      <c r="D600" s="495">
        <f>'CB20'!$F$504</f>
        <v>0</v>
      </c>
      <c r="E600" s="492">
        <f>'CB20'!$H$504</f>
        <v>0</v>
      </c>
      <c r="F600" s="492">
        <f>'CB20'!$J$504</f>
        <v>0</v>
      </c>
      <c r="G600" s="492">
        <f>'CB20'!$L$504</f>
        <v>0</v>
      </c>
      <c r="H600"/>
      <c r="K600" s="492"/>
      <c r="L600" s="492"/>
    </row>
    <row r="601" spans="1:12">
      <c r="A601" s="11" t="str">
        <f>C1&amp;".e20.811204"</f>
        <v>Company Code.e20.811204</v>
      </c>
      <c r="B601" s="492">
        <f>'CB20'!$B$505</f>
        <v>0</v>
      </c>
      <c r="C601" s="765">
        <f>'CB20'!$D$505</f>
        <v>0</v>
      </c>
      <c r="D601" s="495">
        <f>'CB20'!$F$505</f>
        <v>0</v>
      </c>
      <c r="E601" s="492">
        <f>'CB20'!$H$505</f>
        <v>0</v>
      </c>
      <c r="F601" s="492">
        <f>'CB20'!$J$505</f>
        <v>0</v>
      </c>
      <c r="G601" s="492">
        <f>'CB20'!$L$505</f>
        <v>0</v>
      </c>
      <c r="H601"/>
      <c r="K601" s="492"/>
      <c r="L601" s="492"/>
    </row>
    <row r="602" spans="1:12">
      <c r="A602" s="11" t="str">
        <f>C1&amp;".e20.81120401"</f>
        <v>Company Code.e20.81120401</v>
      </c>
      <c r="B602" s="492">
        <f>'CB20'!$B$506</f>
        <v>0</v>
      </c>
      <c r="C602" s="765">
        <f>'CB20'!$D$506</f>
        <v>0</v>
      </c>
      <c r="D602" s="495">
        <f>'CB20'!$F$506</f>
        <v>0</v>
      </c>
      <c r="E602" s="492">
        <f>'CB20'!$H$506</f>
        <v>0</v>
      </c>
      <c r="F602" s="492">
        <f>'CB20'!$J$506</f>
        <v>0</v>
      </c>
      <c r="G602" s="492">
        <f>'CB20'!$L$506</f>
        <v>0</v>
      </c>
      <c r="H602"/>
      <c r="K602" s="492"/>
      <c r="L602" s="492"/>
    </row>
    <row r="603" spans="1:12">
      <c r="A603" s="11" t="str">
        <f>C1&amp;".e20.81120402"</f>
        <v>Company Code.e20.81120402</v>
      </c>
      <c r="B603" s="492">
        <f>'CB20'!$B$507</f>
        <v>0</v>
      </c>
      <c r="C603" s="765">
        <f>'CB20'!$D$507</f>
        <v>0</v>
      </c>
      <c r="D603" s="495">
        <f>'CB20'!$F$507</f>
        <v>0</v>
      </c>
      <c r="E603" s="492">
        <f>'CB20'!$H$507</f>
        <v>0</v>
      </c>
      <c r="F603" s="492">
        <f>'CB20'!$J$507</f>
        <v>0</v>
      </c>
      <c r="G603" s="492">
        <f>'CB20'!$L$507</f>
        <v>0</v>
      </c>
      <c r="H603"/>
      <c r="K603" s="492"/>
      <c r="L603" s="492"/>
    </row>
    <row r="604" spans="1:12">
      <c r="A604" s="11" t="str">
        <f>C1&amp;".e20.811205"</f>
        <v>Company Code.e20.811205</v>
      </c>
      <c r="B604" s="549">
        <f>'CB20'!$B$508</f>
        <v>0</v>
      </c>
      <c r="C604" s="765">
        <f>'CB20'!$D$508</f>
        <v>0</v>
      </c>
      <c r="D604" s="765">
        <f>'CB20'!$F$508</f>
        <v>0</v>
      </c>
      <c r="E604" s="549">
        <f>'CB20'!$H$508</f>
        <v>0</v>
      </c>
      <c r="F604" s="549">
        <f>'CB20'!$J$508</f>
        <v>0</v>
      </c>
      <c r="G604" s="549">
        <f>'CB20'!$L$508</f>
        <v>0</v>
      </c>
      <c r="H604"/>
      <c r="K604" s="492"/>
      <c r="L604" s="492"/>
    </row>
    <row r="605" spans="1:12">
      <c r="A605" s="11" t="str">
        <f>C1&amp;".e20.81120501"</f>
        <v>Company Code.e20.81120501</v>
      </c>
      <c r="B605" s="549">
        <f>'CB20'!$B$509</f>
        <v>0</v>
      </c>
      <c r="C605" s="765">
        <f>'CB20'!$D$509</f>
        <v>0</v>
      </c>
      <c r="D605" s="765">
        <f>'CB20'!$F$509</f>
        <v>0</v>
      </c>
      <c r="E605" s="549">
        <f>'CB20'!$H$509</f>
        <v>0</v>
      </c>
      <c r="F605" s="549">
        <f>'CB20'!$J$509</f>
        <v>0</v>
      </c>
      <c r="G605" s="549">
        <f>'CB20'!$L$509</f>
        <v>0</v>
      </c>
      <c r="H605"/>
      <c r="K605" s="492"/>
      <c r="L605" s="492"/>
    </row>
    <row r="606" spans="1:12">
      <c r="A606" s="11" t="str">
        <f>C1&amp;".e20.81120502"</f>
        <v>Company Code.e20.81120502</v>
      </c>
      <c r="B606" s="549">
        <f>'CB20'!$B$510</f>
        <v>0</v>
      </c>
      <c r="C606" s="765">
        <f>'CB20'!$D$510</f>
        <v>0</v>
      </c>
      <c r="D606" s="765">
        <f>'CB20'!$F$510</f>
        <v>0</v>
      </c>
      <c r="E606" s="549">
        <f>'CB20'!$H$510</f>
        <v>0</v>
      </c>
      <c r="F606" s="549">
        <f>'CB20'!$J$510</f>
        <v>0</v>
      </c>
      <c r="G606" s="549">
        <f>'CB20'!$L$510</f>
        <v>0</v>
      </c>
      <c r="H606"/>
      <c r="K606" s="492"/>
      <c r="L606" s="492"/>
    </row>
    <row r="607" spans="1:12">
      <c r="A607" s="11" t="str">
        <f>C1&amp;".e20.81120503"</f>
        <v>Company Code.e20.81120503</v>
      </c>
      <c r="B607" s="549">
        <f>'CB20'!$B$511</f>
        <v>0</v>
      </c>
      <c r="C607" s="765">
        <f>'CB20'!$D$511</f>
        <v>0</v>
      </c>
      <c r="D607" s="765">
        <f>'CB20'!$F$511</f>
        <v>0</v>
      </c>
      <c r="E607" s="549">
        <f>'CB20'!$H$511</f>
        <v>0</v>
      </c>
      <c r="F607" s="549">
        <f>'CB20'!$J$511</f>
        <v>0</v>
      </c>
      <c r="G607" s="549">
        <f>'CB20'!$L$511</f>
        <v>0</v>
      </c>
      <c r="H607"/>
      <c r="K607" s="492"/>
      <c r="L607" s="492"/>
    </row>
    <row r="608" spans="1:12">
      <c r="A608" s="11" t="str">
        <f>C1&amp;".e20.811206"</f>
        <v>Company Code.e20.811206</v>
      </c>
      <c r="B608" s="492">
        <f>'CB20'!$B$512</f>
        <v>0</v>
      </c>
      <c r="C608" s="765">
        <f>'CB20'!$D$512</f>
        <v>0</v>
      </c>
      <c r="D608" s="495">
        <f>'CB20'!$F$512</f>
        <v>0</v>
      </c>
      <c r="E608" s="492">
        <f>'CB20'!$H$512</f>
        <v>0</v>
      </c>
      <c r="F608" s="492">
        <f>'CB20'!$J$512</f>
        <v>0</v>
      </c>
      <c r="G608" s="492">
        <f>'CB20'!$L$512</f>
        <v>0</v>
      </c>
      <c r="H608"/>
      <c r="K608" s="492"/>
      <c r="L608" s="492"/>
    </row>
    <row r="609" spans="1:12">
      <c r="A609" s="11" t="str">
        <f>C1&amp;".e20.81120601"</f>
        <v>Company Code.e20.81120601</v>
      </c>
      <c r="B609" s="492">
        <f>'CB20'!$B$513</f>
        <v>0</v>
      </c>
      <c r="C609" s="765">
        <f>'CB20'!$D$513</f>
        <v>0</v>
      </c>
      <c r="D609" s="495">
        <f>'CB20'!$F$513</f>
        <v>0</v>
      </c>
      <c r="E609" s="492">
        <f>'CB20'!$H$513</f>
        <v>0</v>
      </c>
      <c r="F609" s="492">
        <f>'CB20'!$J$513</f>
        <v>0</v>
      </c>
      <c r="G609" s="492">
        <f>'CB20'!$L$513</f>
        <v>0</v>
      </c>
      <c r="H609"/>
      <c r="K609" s="492"/>
      <c r="L609" s="492"/>
    </row>
    <row r="610" spans="1:12">
      <c r="A610" s="11" t="str">
        <f>C1&amp;".e20.81120602"</f>
        <v>Company Code.e20.81120602</v>
      </c>
      <c r="B610" s="492">
        <f>'CB20'!$B$514</f>
        <v>0</v>
      </c>
      <c r="C610" s="765">
        <f>'CB20'!$D$514</f>
        <v>0</v>
      </c>
      <c r="D610" s="495">
        <f>'CB20'!$F$514</f>
        <v>0</v>
      </c>
      <c r="E610" s="492">
        <f>'CB20'!$H$514</f>
        <v>0</v>
      </c>
      <c r="F610" s="492">
        <f>'CB20'!$J$514</f>
        <v>0</v>
      </c>
      <c r="G610" s="492">
        <f>'CB20'!$L$514</f>
        <v>0</v>
      </c>
      <c r="H610"/>
      <c r="K610" s="492"/>
      <c r="L610" s="492"/>
    </row>
    <row r="611" spans="1:12">
      <c r="A611" s="11" t="str">
        <f>C1&amp;".e20.81120603"</f>
        <v>Company Code.e20.81120603</v>
      </c>
      <c r="B611" s="492">
        <f>'CB20'!$B$515</f>
        <v>0</v>
      </c>
      <c r="C611" s="765">
        <f>'CB20'!$D$515</f>
        <v>0</v>
      </c>
      <c r="D611" s="495">
        <f>'CB20'!$F$515</f>
        <v>0</v>
      </c>
      <c r="E611" s="492">
        <f>'CB20'!$H$515</f>
        <v>0</v>
      </c>
      <c r="F611" s="492">
        <f>'CB20'!$J$515</f>
        <v>0</v>
      </c>
      <c r="G611" s="492">
        <f>'CB20'!$L$515</f>
        <v>0</v>
      </c>
      <c r="H611"/>
      <c r="K611" s="492"/>
      <c r="L611" s="492"/>
    </row>
    <row r="612" spans="1:12">
      <c r="A612" s="11" t="str">
        <f>C1&amp;".e20.8112"</f>
        <v>Company Code.e20.8112</v>
      </c>
      <c r="B612" s="492">
        <f>'CB20'!$B$516</f>
        <v>0</v>
      </c>
      <c r="C612" s="765">
        <f>'CB20'!$D$516</f>
        <v>0</v>
      </c>
      <c r="D612" s="495">
        <f>'CB20'!$F$516</f>
        <v>0</v>
      </c>
      <c r="E612" s="492">
        <f>'CB20'!$H$516</f>
        <v>0</v>
      </c>
      <c r="F612" s="492">
        <f>'CB20'!$J$516</f>
        <v>0</v>
      </c>
      <c r="G612" s="492">
        <f>'CB20'!$L$516</f>
        <v>0</v>
      </c>
      <c r="H612"/>
      <c r="K612" s="492"/>
      <c r="L612" s="492"/>
    </row>
    <row r="613" spans="1:12">
      <c r="A613" s="11" t="s">
        <v>676</v>
      </c>
      <c r="B613" s="493" t="s">
        <v>642</v>
      </c>
      <c r="C613" s="494" t="s">
        <v>643</v>
      </c>
      <c r="D613" s="494" t="s">
        <v>644</v>
      </c>
      <c r="E613" s="494" t="s">
        <v>645</v>
      </c>
      <c r="F613" s="494" t="s">
        <v>646</v>
      </c>
    </row>
    <row r="614" spans="1:12">
      <c r="A614" s="11" t="str">
        <f>C1&amp;".e20.8202"</f>
        <v>Company Code.e20.8202</v>
      </c>
      <c r="B614" s="492">
        <f>'CB20'!$B$521</f>
        <v>0</v>
      </c>
      <c r="C614" s="492">
        <f>'CB20'!$D$521</f>
        <v>0</v>
      </c>
      <c r="D614" s="492">
        <f>'CB20'!$F$521</f>
        <v>0</v>
      </c>
      <c r="E614" s="492">
        <f>'CB20'!$H$521</f>
        <v>0</v>
      </c>
      <c r="F614" s="492">
        <f>'CB20'!$J$521</f>
        <v>0</v>
      </c>
    </row>
    <row r="615" spans="1:12">
      <c r="A615" s="11" t="str">
        <f>C1&amp;".e20.820201"</f>
        <v>Company Code.e20.820201</v>
      </c>
      <c r="B615" s="492">
        <f>'CB20'!$B$522</f>
        <v>0</v>
      </c>
      <c r="C615" s="492">
        <f>'CB20'!$D$522</f>
        <v>0</v>
      </c>
      <c r="D615" s="492">
        <f>'CB20'!$F$522</f>
        <v>0</v>
      </c>
      <c r="E615" s="492">
        <f>'CB20'!$H$522</f>
        <v>0</v>
      </c>
      <c r="F615" s="492">
        <f>'CB20'!$J$522</f>
        <v>0</v>
      </c>
    </row>
    <row r="616" spans="1:12">
      <c r="A616" s="11" t="str">
        <f>C1&amp;".e20.82020101"</f>
        <v>Company Code.e20.82020101</v>
      </c>
      <c r="B616" s="492">
        <f>'CB20'!$B$523</f>
        <v>0</v>
      </c>
      <c r="C616" s="492">
        <f>'CB20'!$D$523</f>
        <v>0</v>
      </c>
      <c r="D616" s="492">
        <f>'CB20'!$F$523</f>
        <v>0</v>
      </c>
      <c r="E616" s="492">
        <f>'CB20'!$H$523</f>
        <v>0</v>
      </c>
      <c r="F616" s="492">
        <f>'CB20'!$J$523</f>
        <v>0</v>
      </c>
    </row>
    <row r="617" spans="1:12">
      <c r="A617" s="11" t="str">
        <f>C1&amp;".e20.82020102"</f>
        <v>Company Code.e20.82020102</v>
      </c>
      <c r="B617" s="492">
        <f>'CB20'!$B$524</f>
        <v>0</v>
      </c>
      <c r="C617" s="492">
        <f>'CB20'!$D$524</f>
        <v>0</v>
      </c>
      <c r="D617" s="492">
        <f>'CB20'!$F$524</f>
        <v>0</v>
      </c>
      <c r="E617" s="492">
        <f>'CB20'!$H$524</f>
        <v>0</v>
      </c>
      <c r="F617" s="492">
        <f>'CB20'!$J$524</f>
        <v>0</v>
      </c>
    </row>
    <row r="618" spans="1:12">
      <c r="A618" s="11" t="str">
        <f>C1&amp;".e20.82020103"</f>
        <v>Company Code.e20.82020103</v>
      </c>
      <c r="B618" s="492">
        <f>'CB20'!$B$525</f>
        <v>0</v>
      </c>
      <c r="C618" s="492">
        <f>'CB20'!$D$525</f>
        <v>0</v>
      </c>
      <c r="D618" s="492">
        <f>'CB20'!$F$525</f>
        <v>0</v>
      </c>
      <c r="E618" s="492">
        <f>'CB20'!$H$525</f>
        <v>0</v>
      </c>
      <c r="F618" s="492">
        <f>'CB20'!$J$525</f>
        <v>0</v>
      </c>
    </row>
    <row r="619" spans="1:12">
      <c r="A619" s="11" t="str">
        <f>C1&amp;".e20.820203"</f>
        <v>Company Code.e20.820203</v>
      </c>
      <c r="B619" s="492">
        <f>'CB20'!$B$526</f>
        <v>0</v>
      </c>
      <c r="C619" s="492">
        <f>'CB20'!$D$526</f>
        <v>0</v>
      </c>
      <c r="D619" s="492">
        <f>'CB20'!$F$526</f>
        <v>0</v>
      </c>
      <c r="E619" s="492">
        <f>'CB20'!$H$526</f>
        <v>0</v>
      </c>
      <c r="F619" s="492">
        <f>'CB20'!$J$526</f>
        <v>0</v>
      </c>
    </row>
    <row r="620" spans="1:12">
      <c r="A620" s="11" t="str">
        <f>C1&amp;".e20.82020301"</f>
        <v>Company Code.e20.82020301</v>
      </c>
      <c r="B620" s="492">
        <f>'CB20'!$B$527</f>
        <v>0</v>
      </c>
      <c r="C620" s="492">
        <f>'CB20'!$D$527</f>
        <v>0</v>
      </c>
      <c r="D620" s="492">
        <f>'CB20'!$F$527</f>
        <v>0</v>
      </c>
      <c r="E620" s="492">
        <f>'CB20'!$H$527</f>
        <v>0</v>
      </c>
      <c r="F620" s="492">
        <f>'CB20'!$J$527</f>
        <v>0</v>
      </c>
    </row>
    <row r="621" spans="1:12">
      <c r="A621" s="11" t="str">
        <f>C1&amp;".e20.82020302"</f>
        <v>Company Code.e20.82020302</v>
      </c>
      <c r="B621" s="492">
        <f>'CB20'!$B$528</f>
        <v>0</v>
      </c>
      <c r="C621" s="492">
        <f>'CB20'!$D$528</f>
        <v>0</v>
      </c>
      <c r="D621" s="492">
        <f>'CB20'!$F$528</f>
        <v>0</v>
      </c>
      <c r="E621" s="492">
        <f>'CB20'!$H$528</f>
        <v>0</v>
      </c>
      <c r="F621" s="492">
        <f>'CB20'!$J$528</f>
        <v>0</v>
      </c>
    </row>
    <row r="622" spans="1:12">
      <c r="A622" s="11" t="str">
        <f>C1&amp;".e20.82020303"</f>
        <v>Company Code.e20.82020303</v>
      </c>
      <c r="B622" s="492">
        <f>'CB20'!$B$529</f>
        <v>0</v>
      </c>
      <c r="C622" s="492">
        <f>'CB20'!$D$529</f>
        <v>0</v>
      </c>
      <c r="D622" s="492">
        <f>'CB20'!$F$529</f>
        <v>0</v>
      </c>
      <c r="E622" s="492">
        <f>'CB20'!$H$529</f>
        <v>0</v>
      </c>
      <c r="F622" s="492">
        <f>'CB20'!$J$529</f>
        <v>0</v>
      </c>
    </row>
    <row r="623" spans="1:12">
      <c r="A623" s="11" t="str">
        <f>C1&amp;".e20.8204"</f>
        <v>Company Code.e20.8204</v>
      </c>
      <c r="B623" s="492">
        <f>'CB20'!$B$530</f>
        <v>0</v>
      </c>
      <c r="C623" s="492">
        <f>'CB20'!$D$530</f>
        <v>0</v>
      </c>
      <c r="D623" s="492">
        <f>'CB20'!$F$530</f>
        <v>0</v>
      </c>
      <c r="E623" s="492">
        <f>'CB20'!$H$530</f>
        <v>0</v>
      </c>
      <c r="F623" s="492">
        <f>'CB20'!$J$530</f>
        <v>0</v>
      </c>
    </row>
    <row r="624" spans="1:12">
      <c r="A624" s="11" t="str">
        <f>C1&amp;".e20.820401"</f>
        <v>Company Code.e20.820401</v>
      </c>
      <c r="B624" s="492">
        <f>'CB20'!$B$531</f>
        <v>0</v>
      </c>
      <c r="C624" s="492">
        <f>'CB20'!$D$531</f>
        <v>0</v>
      </c>
      <c r="D624" s="492">
        <f>'CB20'!$F$531</f>
        <v>0</v>
      </c>
      <c r="E624" s="492">
        <f>'CB20'!$H$531</f>
        <v>0</v>
      </c>
      <c r="F624" s="492">
        <f>'CB20'!$J$531</f>
        <v>0</v>
      </c>
    </row>
    <row r="625" spans="1:6">
      <c r="A625" s="11" t="str">
        <f>C1&amp;".e20.820402"</f>
        <v>Company Code.e20.820402</v>
      </c>
      <c r="B625" s="492">
        <f>'CB20'!$B$532</f>
        <v>0</v>
      </c>
      <c r="C625" s="492">
        <f>'CB20'!$D$532</f>
        <v>0</v>
      </c>
      <c r="D625" s="492">
        <f>'CB20'!$F$532</f>
        <v>0</v>
      </c>
      <c r="E625" s="492">
        <f>'CB20'!$H$532</f>
        <v>0</v>
      </c>
      <c r="F625" s="492">
        <f>'CB20'!$J$532</f>
        <v>0</v>
      </c>
    </row>
    <row r="626" spans="1:6">
      <c r="A626" s="11" t="str">
        <f>C1&amp;".e20.820403"</f>
        <v>Company Code.e20.820403</v>
      </c>
      <c r="B626" s="492">
        <f>'CB20'!$B$533</f>
        <v>0</v>
      </c>
      <c r="C626" s="492">
        <f>'CB20'!$D$533</f>
        <v>0</v>
      </c>
      <c r="D626" s="492">
        <f>'CB20'!$F$533</f>
        <v>0</v>
      </c>
      <c r="E626" s="492">
        <f>'CB20'!$H$533</f>
        <v>0</v>
      </c>
      <c r="F626" s="492">
        <f>'CB20'!$J$533</f>
        <v>0</v>
      </c>
    </row>
    <row r="627" spans="1:6">
      <c r="A627" s="11" t="str">
        <f>C1&amp;".e20.820404"</f>
        <v>Company Code.e20.820404</v>
      </c>
      <c r="B627" s="492">
        <f>'CB20'!$B$534</f>
        <v>0</v>
      </c>
      <c r="C627" s="492">
        <f>'CB20'!$D$534</f>
        <v>0</v>
      </c>
      <c r="D627" s="492">
        <f>'CB20'!$F$534</f>
        <v>0</v>
      </c>
      <c r="E627" s="492">
        <f>'CB20'!$H$534</f>
        <v>0</v>
      </c>
      <c r="F627" s="492">
        <f>'CB20'!$J$534</f>
        <v>0</v>
      </c>
    </row>
    <row r="628" spans="1:6">
      <c r="A628" s="11" t="str">
        <f>C1&amp;".e20.82040401"</f>
        <v>Company Code.e20.82040401</v>
      </c>
      <c r="B628" s="492">
        <f>'CB20'!$B$535</f>
        <v>0</v>
      </c>
      <c r="C628" s="492">
        <f>'CB20'!$D$535</f>
        <v>0</v>
      </c>
      <c r="D628" s="492">
        <f>'CB20'!$F$535</f>
        <v>0</v>
      </c>
      <c r="E628" s="492">
        <f>'CB20'!$H$535</f>
        <v>0</v>
      </c>
      <c r="F628" s="492">
        <f>'CB20'!$J$535</f>
        <v>0</v>
      </c>
    </row>
    <row r="629" spans="1:6">
      <c r="A629" s="11" t="str">
        <f>C1&amp;".e20.82040402"</f>
        <v>Company Code.e20.82040402</v>
      </c>
      <c r="B629" s="492">
        <f>'CB20'!$B$536</f>
        <v>0</v>
      </c>
      <c r="C629" s="492">
        <f>'CB20'!$D$536</f>
        <v>0</v>
      </c>
      <c r="D629" s="492">
        <f>'CB20'!$F$536</f>
        <v>0</v>
      </c>
      <c r="E629" s="492">
        <f>'CB20'!$H$536</f>
        <v>0</v>
      </c>
      <c r="F629" s="492">
        <f>'CB20'!$J$536</f>
        <v>0</v>
      </c>
    </row>
    <row r="630" spans="1:6">
      <c r="A630" s="11" t="str">
        <f>C1&amp;".e20.82040403"</f>
        <v>Company Code.e20.82040403</v>
      </c>
      <c r="B630" s="492">
        <f>'CB20'!$B$537</f>
        <v>0</v>
      </c>
      <c r="C630" s="492">
        <f>'CB20'!$D$537</f>
        <v>0</v>
      </c>
      <c r="D630" s="492">
        <f>'CB20'!$F$537</f>
        <v>0</v>
      </c>
      <c r="E630" s="492">
        <f>'CB20'!$H$537</f>
        <v>0</v>
      </c>
      <c r="F630" s="492">
        <f>'CB20'!$J$537</f>
        <v>0</v>
      </c>
    </row>
    <row r="631" spans="1:6">
      <c r="A631" s="11" t="str">
        <f>C1&amp;".e20.820405"</f>
        <v>Company Code.e20.820405</v>
      </c>
      <c r="B631" s="492">
        <f>'CB20'!$B$538</f>
        <v>0</v>
      </c>
      <c r="C631" s="492">
        <f>'CB20'!$D$538</f>
        <v>0</v>
      </c>
      <c r="D631" s="492">
        <f>'CB20'!$F$538</f>
        <v>0</v>
      </c>
      <c r="E631" s="492">
        <f>'CB20'!$H$538</f>
        <v>0</v>
      </c>
      <c r="F631" s="492">
        <f>'CB20'!$J$538</f>
        <v>0</v>
      </c>
    </row>
    <row r="632" spans="1:6">
      <c r="A632" s="11" t="str">
        <f>C1&amp;".e20.820406"</f>
        <v>Company Code.e20.820406</v>
      </c>
      <c r="B632" s="492">
        <f>'CB20'!$B$539</f>
        <v>0</v>
      </c>
      <c r="C632" s="492">
        <f>'CB20'!$D$539</f>
        <v>0</v>
      </c>
      <c r="D632" s="492">
        <f>'CB20'!$F$539</f>
        <v>0</v>
      </c>
      <c r="E632" s="492">
        <f>'CB20'!$H$539</f>
        <v>0</v>
      </c>
      <c r="F632" s="492">
        <f>'CB20'!$J$539</f>
        <v>0</v>
      </c>
    </row>
    <row r="633" spans="1:6">
      <c r="A633" s="11" t="str">
        <f>C1&amp;".e20.82040601"</f>
        <v>Company Code.e20.82040601</v>
      </c>
      <c r="B633" s="492">
        <f>'CB20'!$B$540</f>
        <v>0</v>
      </c>
      <c r="C633" s="492">
        <f>'CB20'!$D$540</f>
        <v>0</v>
      </c>
      <c r="D633" s="492">
        <f>'CB20'!$F$540</f>
        <v>0</v>
      </c>
      <c r="E633" s="802"/>
      <c r="F633" s="802"/>
    </row>
    <row r="634" spans="1:6">
      <c r="A634" s="11" t="str">
        <f>C1&amp;".e20.82040602"</f>
        <v>Company Code.e20.82040602</v>
      </c>
      <c r="B634" s="492">
        <f>'CB20'!$B$541</f>
        <v>0</v>
      </c>
      <c r="C634" s="492">
        <f>'CB20'!$D$541</f>
        <v>0</v>
      </c>
      <c r="D634" s="492">
        <f>'CB20'!$F$541</f>
        <v>0</v>
      </c>
      <c r="E634" s="492">
        <f>'CB20'!$H$541</f>
        <v>0</v>
      </c>
      <c r="F634" s="492">
        <f>'CB20'!$J$541</f>
        <v>0</v>
      </c>
    </row>
    <row r="635" spans="1:6">
      <c r="A635" s="11" t="str">
        <f>C1&amp;".e20.820407"</f>
        <v>Company Code.e20.820407</v>
      </c>
      <c r="B635" s="492">
        <f>'CB20'!$B$542</f>
        <v>0</v>
      </c>
      <c r="C635" s="492">
        <f>'CB20'!$D$542</f>
        <v>0</v>
      </c>
      <c r="D635" s="492">
        <f>'CB20'!$F$542</f>
        <v>0</v>
      </c>
      <c r="E635" s="492">
        <f>'CB20'!$H$542</f>
        <v>0</v>
      </c>
      <c r="F635" s="492">
        <f>'CB20'!$J$542</f>
        <v>0</v>
      </c>
    </row>
    <row r="636" spans="1:6">
      <c r="A636" s="11" t="str">
        <f>C1&amp;".e20.82040701"</f>
        <v>Company Code.e20.82040701</v>
      </c>
      <c r="B636" s="492">
        <f>'CB20'!$B$543</f>
        <v>0</v>
      </c>
      <c r="C636" s="492">
        <f>'CB20'!$D$543</f>
        <v>0</v>
      </c>
      <c r="D636" s="492">
        <f>'CB20'!$F$543</f>
        <v>0</v>
      </c>
      <c r="E636" s="492">
        <f>'CB20'!$H$543</f>
        <v>0</v>
      </c>
      <c r="F636" s="492">
        <f>'CB20'!$J$543</f>
        <v>0</v>
      </c>
    </row>
    <row r="637" spans="1:6">
      <c r="A637" s="11" t="str">
        <f>C1&amp;".e20.82040702"</f>
        <v>Company Code.e20.82040702</v>
      </c>
      <c r="B637" s="492">
        <f>'CB20'!$B$544</f>
        <v>0</v>
      </c>
      <c r="C637" s="492">
        <f>'CB20'!$D$544</f>
        <v>0</v>
      </c>
      <c r="D637" s="492">
        <f>'CB20'!$F$544</f>
        <v>0</v>
      </c>
      <c r="E637" s="492">
        <f>'CB20'!$H$544</f>
        <v>0</v>
      </c>
      <c r="F637" s="492">
        <f>'CB20'!$J$544</f>
        <v>0</v>
      </c>
    </row>
    <row r="638" spans="1:6">
      <c r="A638" s="11" t="str">
        <f>C1&amp;".e20.820408"</f>
        <v>Company Code.e20.820408</v>
      </c>
      <c r="B638" s="492">
        <f>'CB20'!$B$545</f>
        <v>0</v>
      </c>
      <c r="C638" s="492">
        <f>'CB20'!$D$545</f>
        <v>0</v>
      </c>
      <c r="D638" s="492">
        <f>'CB20'!$F$545</f>
        <v>0</v>
      </c>
      <c r="E638" s="492">
        <f>'CB20'!$H$545</f>
        <v>0</v>
      </c>
      <c r="F638" s="492">
        <f>'CB20'!$J$545</f>
        <v>0</v>
      </c>
    </row>
    <row r="639" spans="1:6">
      <c r="A639" s="11" t="s">
        <v>677</v>
      </c>
      <c r="B639" s="493" t="s">
        <v>642</v>
      </c>
      <c r="C639" s="497" t="s">
        <v>674</v>
      </c>
      <c r="D639" s="497" t="s">
        <v>675</v>
      </c>
      <c r="E639" s="497" t="s">
        <v>667</v>
      </c>
      <c r="F639" s="497" t="s">
        <v>672</v>
      </c>
    </row>
    <row r="640" spans="1:6">
      <c r="A640" s="11" t="str">
        <f>C1&amp;".e20.820501"</f>
        <v>Company Code.e20.820501</v>
      </c>
      <c r="B640" s="492">
        <f>'CB20'!$B$549</f>
        <v>0</v>
      </c>
      <c r="C640" s="492">
        <f>'CB20'!$D$549</f>
        <v>0</v>
      </c>
      <c r="D640" s="492">
        <f>'CB20'!$F$549</f>
        <v>0</v>
      </c>
      <c r="E640" s="492">
        <f>'CB20'!$H$549</f>
        <v>0</v>
      </c>
      <c r="F640" s="492">
        <f>'CB20'!$J$549</f>
        <v>0</v>
      </c>
    </row>
    <row r="641" spans="1:8">
      <c r="A641" s="11" t="str">
        <f>C1&amp;".e20.82050101"</f>
        <v>Company Code.e20.82050101</v>
      </c>
      <c r="B641" s="492">
        <f>'CB20'!$B$550</f>
        <v>0</v>
      </c>
      <c r="C641" s="492">
        <f>'CB20'!$D$550</f>
        <v>0</v>
      </c>
      <c r="D641" s="492">
        <f>'CB20'!$F$550</f>
        <v>0</v>
      </c>
      <c r="E641" s="492">
        <f>'CB20'!$H$550</f>
        <v>0</v>
      </c>
      <c r="F641" s="492">
        <f>'CB20'!$J$550</f>
        <v>0</v>
      </c>
    </row>
    <row r="642" spans="1:8">
      <c r="A642" s="11" t="str">
        <f>C1&amp;".e20.82050102"</f>
        <v>Company Code.e20.82050102</v>
      </c>
      <c r="B642" s="492">
        <f>'CB20'!$B$551</f>
        <v>0</v>
      </c>
      <c r="C642" s="492">
        <f>'CB20'!$D$551</f>
        <v>0</v>
      </c>
      <c r="D642" s="492">
        <f>'CB20'!$F$551</f>
        <v>0</v>
      </c>
      <c r="E642" s="492">
        <f>'CB20'!$H$551</f>
        <v>0</v>
      </c>
      <c r="F642" s="492">
        <f>'CB20'!$J$551</f>
        <v>0</v>
      </c>
    </row>
    <row r="643" spans="1:8">
      <c r="A643" s="11" t="str">
        <f>C1&amp;".e20.820502"</f>
        <v>Company Code.e20.820502</v>
      </c>
      <c r="B643" s="492">
        <f>'CB20'!$B$552</f>
        <v>0</v>
      </c>
      <c r="C643" s="492">
        <f>'CB20'!$D$552</f>
        <v>0</v>
      </c>
      <c r="D643" s="492">
        <f>'CB20'!$F$552</f>
        <v>0</v>
      </c>
      <c r="E643" s="492">
        <f>'CB20'!$H$552</f>
        <v>0</v>
      </c>
      <c r="F643" s="492">
        <f>'CB20'!$J$552</f>
        <v>0</v>
      </c>
    </row>
    <row r="644" spans="1:8">
      <c r="A644" s="11" t="str">
        <f>C1&amp;".e20.820503"</f>
        <v>Company Code.e20.820503</v>
      </c>
      <c r="B644" s="492">
        <f>'CB20'!$B$553</f>
        <v>0</v>
      </c>
      <c r="C644" s="492">
        <f>'CB20'!$D$553</f>
        <v>0</v>
      </c>
      <c r="D644" s="492">
        <f>'CB20'!$F$553</f>
        <v>0</v>
      </c>
      <c r="E644" s="492">
        <f>'CB20'!$H$553</f>
        <v>0</v>
      </c>
      <c r="F644" s="492">
        <f>'CB20'!$J$553</f>
        <v>0</v>
      </c>
    </row>
    <row r="645" spans="1:8">
      <c r="A645" s="11" t="str">
        <f>C1&amp;".e20.82050301"</f>
        <v>Company Code.e20.82050301</v>
      </c>
      <c r="B645" s="492">
        <f>'CB20'!$B$554</f>
        <v>0</v>
      </c>
      <c r="C645" s="492">
        <f>'CB20'!$D$554</f>
        <v>0</v>
      </c>
      <c r="D645" s="492">
        <f>'CB20'!$F$554</f>
        <v>0</v>
      </c>
      <c r="E645" s="492">
        <f>'CB20'!$H$554</f>
        <v>0</v>
      </c>
      <c r="F645" s="492">
        <f>'CB20'!$J$554</f>
        <v>0</v>
      </c>
    </row>
    <row r="646" spans="1:8">
      <c r="A646" s="11" t="str">
        <f>C1&amp;".e20.82050302"</f>
        <v>Company Code.e20.82050302</v>
      </c>
      <c r="B646" s="492">
        <f>'CB20'!$B$555</f>
        <v>0</v>
      </c>
      <c r="C646" s="492">
        <f>'CB20'!$D$555</f>
        <v>0</v>
      </c>
      <c r="D646" s="492">
        <f>'CB20'!$F$555</f>
        <v>0</v>
      </c>
      <c r="E646" s="492">
        <f>'CB20'!$H$555</f>
        <v>0</v>
      </c>
      <c r="F646" s="492">
        <f>'CB20'!$J$555</f>
        <v>0</v>
      </c>
    </row>
    <row r="647" spans="1:8">
      <c r="A647" s="11" t="str">
        <f>C1&amp;".e20.82050303"</f>
        <v>Company Code.e20.82050303</v>
      </c>
      <c r="B647" s="492">
        <f>'CB20'!$B$556</f>
        <v>0</v>
      </c>
      <c r="C647" s="492">
        <f>'CB20'!$D$556</f>
        <v>0</v>
      </c>
      <c r="D647" s="492">
        <f>'CB20'!$F$556</f>
        <v>0</v>
      </c>
      <c r="E647" s="492">
        <f>'CB20'!$H$556</f>
        <v>0</v>
      </c>
      <c r="F647" s="492">
        <f>'CB20'!$J$556</f>
        <v>0</v>
      </c>
    </row>
    <row r="648" spans="1:8">
      <c r="A648" s="11" t="str">
        <f>C1&amp;".e20.820504"</f>
        <v>Company Code.e20.820504</v>
      </c>
      <c r="B648" s="492">
        <f>'CB20'!$B$557</f>
        <v>0</v>
      </c>
      <c r="C648" s="492">
        <f>'CB20'!$D$557</f>
        <v>0</v>
      </c>
      <c r="D648" s="492">
        <f>'CB20'!$F$557</f>
        <v>0</v>
      </c>
      <c r="E648" s="492">
        <f>'CB20'!$H$557</f>
        <v>0</v>
      </c>
      <c r="F648" s="492">
        <f>'CB20'!$J$557</f>
        <v>0</v>
      </c>
    </row>
    <row r="649" spans="1:8">
      <c r="A649" s="11" t="str">
        <f>C1&amp;".e20.82050401"</f>
        <v>Company Code.e20.82050401</v>
      </c>
      <c r="B649" s="492">
        <f>'CB20'!$B$558</f>
        <v>0</v>
      </c>
      <c r="C649" s="492">
        <f>'CB20'!$D$558</f>
        <v>0</v>
      </c>
      <c r="D649" s="492">
        <f>'CB20'!$F$558</f>
        <v>0</v>
      </c>
      <c r="E649" s="492">
        <f>'CB20'!$H$558</f>
        <v>0</v>
      </c>
      <c r="F649" s="492">
        <f>'CB20'!$J$558</f>
        <v>0</v>
      </c>
    </row>
    <row r="650" spans="1:8">
      <c r="A650" s="11" t="str">
        <f>C1&amp;".e20.82050402"</f>
        <v>Company Code.e20.82050402</v>
      </c>
      <c r="B650" s="492">
        <f>'CB20'!$B$559</f>
        <v>0</v>
      </c>
      <c r="C650" s="492">
        <f>'CB20'!$D$559</f>
        <v>0</v>
      </c>
      <c r="D650" s="492">
        <f>'CB20'!$F$559</f>
        <v>0</v>
      </c>
      <c r="E650" s="492">
        <f>'CB20'!$H$559</f>
        <v>0</v>
      </c>
      <c r="F650" s="492">
        <f>'CB20'!$J$559</f>
        <v>0</v>
      </c>
    </row>
    <row r="651" spans="1:8">
      <c r="A651" s="11" t="str">
        <f>C1&amp;".e20.820505"</f>
        <v>Company Code.e20.820505</v>
      </c>
      <c r="B651" s="492">
        <f>'CB20'!$B$560</f>
        <v>0</v>
      </c>
      <c r="C651" s="492">
        <f>'CB20'!$D$560</f>
        <v>0</v>
      </c>
      <c r="D651" s="492">
        <f>'CB20'!$F$560</f>
        <v>0</v>
      </c>
      <c r="E651" s="492">
        <f>'CB20'!$H$560</f>
        <v>0</v>
      </c>
      <c r="F651" s="492">
        <f>'CB20'!$J$560</f>
        <v>0</v>
      </c>
    </row>
    <row r="652" spans="1:8">
      <c r="A652" s="11" t="str">
        <f>C1&amp;".e20.8205"</f>
        <v>Company Code.e20.8205</v>
      </c>
      <c r="B652" s="492">
        <f>'CB20'!$B$561</f>
        <v>0</v>
      </c>
      <c r="C652" s="492">
        <f>'CB20'!$D$561</f>
        <v>0</v>
      </c>
      <c r="D652" s="492">
        <f>'CB20'!$F$561</f>
        <v>0</v>
      </c>
      <c r="E652" s="492">
        <f>'CB20'!$H$561</f>
        <v>0</v>
      </c>
      <c r="F652" s="492">
        <f>'CB20'!$J$561</f>
        <v>0</v>
      </c>
    </row>
    <row r="653" spans="1:8">
      <c r="A653" s="11" t="s">
        <v>678</v>
      </c>
      <c r="B653" s="498"/>
      <c r="C653" s="499"/>
      <c r="D653" s="499"/>
      <c r="E653" s="499"/>
      <c r="F653" s="499"/>
    </row>
    <row r="654" spans="1:8">
      <c r="A654" s="11" t="str">
        <f>C1&amp;".e20.8303.num"</f>
        <v>Company Code.e20.8303.num</v>
      </c>
      <c r="B654" s="492">
        <f>'CB20'!$B$566</f>
        <v>0</v>
      </c>
    </row>
    <row r="655" spans="1:8">
      <c r="A655" s="11" t="s">
        <v>679</v>
      </c>
      <c r="B655" s="500" t="s">
        <v>642</v>
      </c>
      <c r="C655" s="501" t="s">
        <v>680</v>
      </c>
      <c r="D655" s="501" t="s">
        <v>681</v>
      </c>
    </row>
    <row r="656" spans="1:8">
      <c r="A656" s="11" t="str">
        <f>C1&amp;".e40.401"</f>
        <v>Company Code.e40.401</v>
      </c>
      <c r="B656" s="549">
        <f>'CB40'!$C$7</f>
        <v>0</v>
      </c>
      <c r="C656" s="549">
        <f>'CB40'!$E$7</f>
        <v>0</v>
      </c>
      <c r="D656" s="549">
        <f>'CB40'!$G$7</f>
        <v>0</v>
      </c>
      <c r="E656" s="502" t="s">
        <v>682</v>
      </c>
      <c r="F656" s="502" t="s">
        <v>682</v>
      </c>
      <c r="G656" s="502" t="s">
        <v>682</v>
      </c>
      <c r="H656" s="502" t="s">
        <v>682</v>
      </c>
    </row>
    <row r="657" spans="1:4">
      <c r="A657" s="11" t="str">
        <f>C1&amp;".e40.402"</f>
        <v>Company Code.e40.402</v>
      </c>
      <c r="B657" s="791">
        <f>'CB40'!$C$8</f>
        <v>0</v>
      </c>
      <c r="C657" s="549">
        <f>'CB40'!$E$8</f>
        <v>0</v>
      </c>
      <c r="D657" s="549">
        <f>'CB40'!G$8</f>
        <v>0</v>
      </c>
    </row>
    <row r="658" spans="1:4">
      <c r="A658" s="11" t="str">
        <f>C1&amp;".e40.403"</f>
        <v>Company Code.e40.403</v>
      </c>
      <c r="B658" s="549">
        <f>'CB40'!$C$9</f>
        <v>0</v>
      </c>
      <c r="C658" s="549">
        <f>'CB40'!$E$9</f>
        <v>0</v>
      </c>
      <c r="D658" s="549">
        <f>'CB40'!$G$9</f>
        <v>0</v>
      </c>
    </row>
    <row r="659" spans="1:4">
      <c r="A659" s="11" t="str">
        <f>C1&amp;".e40.404"</f>
        <v>Company Code.e40.404</v>
      </c>
      <c r="B659" s="549">
        <f>'CB40'!$C$10</f>
        <v>0</v>
      </c>
      <c r="C659" s="549">
        <f>'CB40'!$E$10</f>
        <v>0</v>
      </c>
      <c r="D659" s="549">
        <f>'CB40'!$G$10</f>
        <v>0</v>
      </c>
    </row>
    <row r="660" spans="1:4">
      <c r="A660" s="11" t="str">
        <f>C1&amp;".e40.405"</f>
        <v>Company Code.e40.405</v>
      </c>
      <c r="B660" s="549">
        <f>'CB40'!$C$11</f>
        <v>0</v>
      </c>
      <c r="C660" s="549">
        <f>'CB40'!$E$11</f>
        <v>0</v>
      </c>
      <c r="D660" s="549">
        <f>'CB40'!$G$11</f>
        <v>0</v>
      </c>
    </row>
    <row r="661" spans="1:4">
      <c r="A661" s="11" t="str">
        <f>C1&amp;".e40.407"</f>
        <v>Company Code.e40.407</v>
      </c>
      <c r="B661" s="549">
        <f>'CB40'!$C$12</f>
        <v>0</v>
      </c>
      <c r="C661" s="549">
        <f>'CB40'!$E$12</f>
        <v>0</v>
      </c>
      <c r="D661" s="549">
        <f>'CB40'!$G$12</f>
        <v>0</v>
      </c>
    </row>
    <row r="662" spans="1:4">
      <c r="A662" s="11" t="str">
        <f>C1&amp;".e40.408"</f>
        <v>Company Code.e40.408</v>
      </c>
      <c r="B662" s="549">
        <f>'CB40'!$C$13</f>
        <v>0</v>
      </c>
      <c r="C662" s="549">
        <f>'CB40'!$E$13</f>
        <v>0</v>
      </c>
      <c r="D662" s="549">
        <f>'CB40'!G$13</f>
        <v>0</v>
      </c>
    </row>
    <row r="663" spans="1:4">
      <c r="A663" s="11" t="str">
        <f>C1&amp;".e40.412"</f>
        <v>Company Code.e40.412</v>
      </c>
      <c r="B663" s="549">
        <f>'CB40'!$C$14</f>
        <v>0</v>
      </c>
      <c r="C663" s="549">
        <f>'CB40'!$E$14</f>
        <v>0</v>
      </c>
      <c r="D663" s="549">
        <f>'CB40'!$G$14</f>
        <v>0</v>
      </c>
    </row>
    <row r="664" spans="1:4">
      <c r="A664" s="11" t="str">
        <f>C1&amp;".e40.413"</f>
        <v>Company Code.e40.413</v>
      </c>
      <c r="B664" s="549">
        <f>'CB40'!$C$15</f>
        <v>0</v>
      </c>
      <c r="C664" s="549">
        <f>'CB40'!$E$15</f>
        <v>0</v>
      </c>
      <c r="D664" s="549">
        <f>'CB40'!$G$15</f>
        <v>0</v>
      </c>
    </row>
    <row r="665" spans="1:4">
      <c r="A665" s="11" t="str">
        <f>C1&amp;".e40.414"</f>
        <v>Company Code.e40.414</v>
      </c>
      <c r="B665" s="549">
        <f>'CB40'!$C$16</f>
        <v>0</v>
      </c>
      <c r="C665" s="549">
        <f>'CB40'!$E$16</f>
        <v>0</v>
      </c>
      <c r="D665" s="549">
        <f>'CB40'!$G$16</f>
        <v>0</v>
      </c>
    </row>
    <row r="666" spans="1:4">
      <c r="A666" s="11" t="str">
        <f>C1&amp;".e40.4"</f>
        <v>Company Code.e40.4</v>
      </c>
      <c r="B666" s="549">
        <f>'CB40'!$C$17</f>
        <v>0</v>
      </c>
      <c r="C666" s="549">
        <f>'CB40'!$E$17</f>
        <v>0</v>
      </c>
      <c r="D666" s="549">
        <f>'CB40'!$G$17</f>
        <v>0</v>
      </c>
    </row>
    <row r="667" spans="1:4">
      <c r="A667" s="11" t="str">
        <f>C1&amp;".e40.501"</f>
        <v>Company Code.e40.501</v>
      </c>
      <c r="B667" s="549">
        <f>'CB40'!$C$21</f>
        <v>0</v>
      </c>
      <c r="C667" s="549">
        <f>'CB40'!$E$21</f>
        <v>0</v>
      </c>
      <c r="D667" s="549">
        <f>'CB40'!$G$21</f>
        <v>0</v>
      </c>
    </row>
    <row r="668" spans="1:4">
      <c r="A668" s="11" t="str">
        <f>C1&amp;".e40.502"</f>
        <v>Company Code.e40.502</v>
      </c>
      <c r="B668" s="549">
        <f>'CB40'!$C$22</f>
        <v>0</v>
      </c>
      <c r="C668" s="549">
        <f>'CB40'!$E$22</f>
        <v>0</v>
      </c>
      <c r="D668" s="549">
        <f>'CB40'!$G$22</f>
        <v>0</v>
      </c>
    </row>
    <row r="669" spans="1:4">
      <c r="A669" s="11" t="str">
        <f>C1&amp;".e40.503"</f>
        <v>Company Code.e40.503</v>
      </c>
      <c r="B669" s="549">
        <f>'CB40'!$C$23</f>
        <v>0</v>
      </c>
      <c r="C669" s="549">
        <f>'CB40'!$E$23</f>
        <v>0</v>
      </c>
      <c r="D669" s="549">
        <f>'CB40'!$G$23</f>
        <v>0</v>
      </c>
    </row>
    <row r="670" spans="1:4">
      <c r="A670" s="11" t="str">
        <f>C1&amp;".e40.504"</f>
        <v>Company Code.e40.504</v>
      </c>
      <c r="B670" s="549">
        <f>'CB40'!$C$24</f>
        <v>0</v>
      </c>
      <c r="C670" s="549">
        <f>'CB40'!$E$24</f>
        <v>0</v>
      </c>
      <c r="D670" s="792">
        <f>'CB40'!$G$24</f>
        <v>0</v>
      </c>
    </row>
    <row r="671" spans="1:4">
      <c r="A671" s="11" t="str">
        <f>C1&amp;".e40.505"</f>
        <v>Company Code.e40.505</v>
      </c>
      <c r="B671" s="549">
        <f>'CB40'!$C$25</f>
        <v>0</v>
      </c>
      <c r="C671" s="549">
        <f>'CB40'!$E$25</f>
        <v>0</v>
      </c>
      <c r="D671" s="792">
        <f>'CB40'!$G$25</f>
        <v>0</v>
      </c>
    </row>
    <row r="672" spans="1:4">
      <c r="A672" s="11" t="str">
        <f>C1&amp;".e40.506"</f>
        <v>Company Code.e40.506</v>
      </c>
      <c r="B672" s="549">
        <f>'CB40'!$C$26</f>
        <v>0</v>
      </c>
      <c r="C672" s="549">
        <f>'CB40'!$E$26</f>
        <v>0</v>
      </c>
      <c r="D672" s="792">
        <f>'CB40'!$G$26</f>
        <v>0</v>
      </c>
    </row>
    <row r="673" spans="1:4">
      <c r="A673" s="11" t="str">
        <f>C1&amp;".e40.507"</f>
        <v>Company Code.e40.507</v>
      </c>
      <c r="B673" s="549">
        <f>'CB40'!$C$27</f>
        <v>0</v>
      </c>
      <c r="C673" s="549">
        <f>'CB40'!$E$27</f>
        <v>0</v>
      </c>
      <c r="D673" s="792">
        <f>'CB40'!$G$27</f>
        <v>0</v>
      </c>
    </row>
    <row r="674" spans="1:4">
      <c r="A674" s="11" t="str">
        <f>C1&amp;".e40.508"</f>
        <v>Company Code.e40.508</v>
      </c>
      <c r="B674" s="549">
        <f>'CB40'!$C$28</f>
        <v>0</v>
      </c>
      <c r="C674" s="549">
        <f>'CB40'!$E$28</f>
        <v>0</v>
      </c>
      <c r="D674" s="792">
        <f>'CB40'!$G$28</f>
        <v>0</v>
      </c>
    </row>
    <row r="675" spans="1:4">
      <c r="A675" s="11" t="str">
        <f>C1&amp;".e40.515"</f>
        <v>Company Code.e40.515</v>
      </c>
      <c r="B675" s="549">
        <f>'CB40'!$C$29</f>
        <v>0</v>
      </c>
      <c r="C675" s="549">
        <f>'CB40'!$E$29</f>
        <v>0</v>
      </c>
      <c r="D675" s="792">
        <f>'CB40'!$G$29</f>
        <v>0</v>
      </c>
    </row>
    <row r="676" spans="1:4">
      <c r="A676" s="11" t="str">
        <f>C1&amp;".e40.510"</f>
        <v>Company Code.e40.510</v>
      </c>
      <c r="B676" s="549">
        <f>'CB40'!$C$30</f>
        <v>0</v>
      </c>
      <c r="C676" s="549">
        <f>'CB40'!$E$30</f>
        <v>0</v>
      </c>
      <c r="D676" s="792">
        <f>'CB40'!$G$30</f>
        <v>0</v>
      </c>
    </row>
    <row r="677" spans="1:4">
      <c r="A677" s="11" t="str">
        <f>C1&amp;".e40.511"</f>
        <v>Company Code.e40.511</v>
      </c>
      <c r="B677" s="549">
        <f>'CB40'!$C$31</f>
        <v>0</v>
      </c>
      <c r="C677" s="549">
        <f>'CB40'!$E$31</f>
        <v>0</v>
      </c>
      <c r="D677" s="792">
        <f>'CB40'!$G$31</f>
        <v>0</v>
      </c>
    </row>
    <row r="678" spans="1:4">
      <c r="A678" s="11" t="str">
        <f>C1&amp;".e40.516"</f>
        <v>Company Code.e40.516</v>
      </c>
      <c r="B678" s="549">
        <f>'CB40'!$C$32</f>
        <v>0</v>
      </c>
      <c r="C678" s="549">
        <f>'CB40'!$E$32</f>
        <v>0</v>
      </c>
      <c r="D678" s="792">
        <f>'CB40'!$G$32</f>
        <v>0</v>
      </c>
    </row>
    <row r="679" spans="1:4">
      <c r="A679" s="11" t="str">
        <f>C1&amp;".e40.517"</f>
        <v>Company Code.e40.517</v>
      </c>
      <c r="B679" s="549">
        <f>'CB40'!$C$33</f>
        <v>0</v>
      </c>
      <c r="C679" s="549">
        <f>'CB40'!$E$33</f>
        <v>0</v>
      </c>
      <c r="D679" s="792">
        <f>'CB40'!$G$33</f>
        <v>0</v>
      </c>
    </row>
    <row r="680" spans="1:4">
      <c r="A680" s="11" t="str">
        <f>C1&amp;".e40.518"</f>
        <v>Company Code.e40.518</v>
      </c>
      <c r="B680" s="549">
        <f>'CB40'!$C$34</f>
        <v>0</v>
      </c>
      <c r="C680" s="549">
        <f>'CB40'!$E$34</f>
        <v>0</v>
      </c>
      <c r="D680" s="792">
        <f>'CB40'!$G$34</f>
        <v>0</v>
      </c>
    </row>
    <row r="681" spans="1:4">
      <c r="A681" s="11" t="str">
        <f>C1&amp;".e40.5"</f>
        <v>Company Code.e40.5</v>
      </c>
      <c r="B681" s="549">
        <f>'CB40'!$C$36</f>
        <v>0</v>
      </c>
      <c r="C681" s="549">
        <f>'CB40'!$E$36</f>
        <v>0</v>
      </c>
      <c r="D681" s="792">
        <f>'CB40'!$G$36</f>
        <v>0</v>
      </c>
    </row>
    <row r="682" spans="1:4">
      <c r="A682" s="11" t="str">
        <f>C1&amp;".e40.601"</f>
        <v>Company Code.e40.601</v>
      </c>
      <c r="B682" s="549">
        <f>'CB40'!$C$38</f>
        <v>0</v>
      </c>
      <c r="C682" s="549">
        <f>'CB40'!$E$38</f>
        <v>0</v>
      </c>
      <c r="D682" s="792">
        <f>'CB40'!$G$38</f>
        <v>0</v>
      </c>
    </row>
    <row r="683" spans="1:4">
      <c r="A683" s="11" t="str">
        <f>C1&amp;".e40.602"</f>
        <v>Company Code.e40.602</v>
      </c>
      <c r="B683" s="549">
        <f>'CB40'!$C$39</f>
        <v>0</v>
      </c>
      <c r="C683" s="549">
        <f>'CB40'!$E$39</f>
        <v>0</v>
      </c>
      <c r="D683" s="792">
        <f>'CB40'!$G$39</f>
        <v>0</v>
      </c>
    </row>
    <row r="684" spans="1:4">
      <c r="A684" s="11" t="str">
        <f>C1&amp;".e40.603"</f>
        <v>Company Code.e40.603</v>
      </c>
      <c r="B684" s="549">
        <f>'CB40'!$C$40</f>
        <v>0</v>
      </c>
      <c r="C684" s="549">
        <f>'CB40'!$E$40</f>
        <v>0</v>
      </c>
      <c r="D684" s="792">
        <f>'CB40'!$G$40</f>
        <v>0</v>
      </c>
    </row>
    <row r="685" spans="1:4">
      <c r="A685" s="11" t="str">
        <f>C1&amp;".e40.604"</f>
        <v>Company Code.e40.604</v>
      </c>
      <c r="B685" s="549">
        <f>'CB40'!$C$41</f>
        <v>0</v>
      </c>
      <c r="C685" s="549">
        <f>'CB40'!$E$41</f>
        <v>0</v>
      </c>
      <c r="D685" s="792">
        <f>'CB40'!$G$41</f>
        <v>0</v>
      </c>
    </row>
    <row r="686" spans="1:4">
      <c r="A686" s="11" t="str">
        <f>C1&amp;".e40.605"</f>
        <v>Company Code.e40.605</v>
      </c>
      <c r="B686" s="549">
        <f>'CB40'!$C$42</f>
        <v>0</v>
      </c>
      <c r="C686" s="549">
        <f>'CB40'!$E$42</f>
        <v>0</v>
      </c>
      <c r="D686" s="792">
        <f>'CB40'!$G$42</f>
        <v>0</v>
      </c>
    </row>
    <row r="687" spans="1:4">
      <c r="A687" s="11" t="str">
        <f>C1&amp;".e40.606"</f>
        <v>Company Code.e40.606</v>
      </c>
      <c r="B687" s="549">
        <f>'CB40'!$C$43</f>
        <v>0</v>
      </c>
      <c r="C687" s="549">
        <f>'CB40'!$E$43</f>
        <v>0</v>
      </c>
      <c r="D687" s="792">
        <f>'CB40'!$G$43</f>
        <v>0</v>
      </c>
    </row>
    <row r="688" spans="1:4">
      <c r="A688" s="11" t="str">
        <f>C1&amp;".e40.607"</f>
        <v>Company Code.e40.607</v>
      </c>
      <c r="B688" s="549">
        <f>'CB40'!$C$44</f>
        <v>0</v>
      </c>
      <c r="C688" s="549">
        <f>'CB40'!$E$44</f>
        <v>0</v>
      </c>
      <c r="D688" s="792">
        <f>'CB40'!$G$44</f>
        <v>0</v>
      </c>
    </row>
    <row r="689" spans="1:4">
      <c r="A689" s="11" t="str">
        <f>C1&amp;".e40.608"</f>
        <v>Company Code.e40.608</v>
      </c>
      <c r="B689" s="549">
        <f>'CB40'!$C$45</f>
        <v>0</v>
      </c>
      <c r="C689" s="549">
        <f>'CB40'!$E$45</f>
        <v>0</v>
      </c>
      <c r="D689" s="792">
        <f>'CB40'!$G$45</f>
        <v>0</v>
      </c>
    </row>
    <row r="690" spans="1:4">
      <c r="A690" s="11" t="str">
        <f>C1&amp;".e40.609"</f>
        <v>Company Code.e40.609</v>
      </c>
      <c r="B690" s="549">
        <f>'CB40'!$C$46</f>
        <v>0</v>
      </c>
      <c r="C690" s="549">
        <f>'CB40'!$E$46</f>
        <v>0</v>
      </c>
      <c r="D690" s="792">
        <f>'CB40'!$G$46</f>
        <v>0</v>
      </c>
    </row>
    <row r="691" spans="1:4">
      <c r="A691" s="11" t="str">
        <f>C1&amp;".e40.700"</f>
        <v>Company Code.e40.700</v>
      </c>
      <c r="B691" s="549">
        <f>'CB40'!$C$47</f>
        <v>0</v>
      </c>
      <c r="C691" s="549">
        <f>'CB40'!$E$47</f>
        <v>0</v>
      </c>
      <c r="D691" s="792">
        <f>'CB40'!$G$47</f>
        <v>0</v>
      </c>
    </row>
    <row r="692" spans="1:4">
      <c r="A692" s="11" t="str">
        <f>C1&amp;".e40.70101"</f>
        <v>Company Code.e40.70101</v>
      </c>
      <c r="B692" s="549">
        <f>'CB40'!$C$49</f>
        <v>0</v>
      </c>
      <c r="C692" s="549">
        <f>'CB40'!$E$49</f>
        <v>0</v>
      </c>
      <c r="D692" s="792">
        <f>'CB40'!$G$49</f>
        <v>0</v>
      </c>
    </row>
    <row r="693" spans="1:4">
      <c r="A693" s="11" t="str">
        <f>C1&amp;".e40.70102"</f>
        <v>Company Code.e40.70102</v>
      </c>
      <c r="B693" s="549">
        <f>'CB40'!$C$50</f>
        <v>0</v>
      </c>
      <c r="C693" s="549">
        <f>'CB40'!$E$50</f>
        <v>0</v>
      </c>
      <c r="D693" s="792">
        <f>'CB40'!$G$50</f>
        <v>0</v>
      </c>
    </row>
    <row r="694" spans="1:4">
      <c r="A694" s="11" t="str">
        <f>C1&amp;".e40.701"</f>
        <v>Company Code.e40.701</v>
      </c>
      <c r="B694" s="549">
        <f>'CB40'!$C$51</f>
        <v>0</v>
      </c>
      <c r="C694" s="549">
        <f>'CB40'!$E$51</f>
        <v>0</v>
      </c>
      <c r="D694" s="792">
        <f>'CB40'!$G$51</f>
        <v>0</v>
      </c>
    </row>
    <row r="695" spans="1:4">
      <c r="A695" s="11" t="str">
        <f>C1&amp;".e40.40101"</f>
        <v>Company Code.e40.40101</v>
      </c>
      <c r="B695" s="549">
        <f>'CB40'!$C$59</f>
        <v>0</v>
      </c>
      <c r="C695" s="549">
        <f>'CB40'!$E$59</f>
        <v>0</v>
      </c>
      <c r="D695" s="792">
        <f>'CB40'!$G$59</f>
        <v>0</v>
      </c>
    </row>
    <row r="696" spans="1:4">
      <c r="A696" s="11" t="str">
        <f>C1&amp;".e40.4010101"</f>
        <v>Company Code.e40.4010101</v>
      </c>
      <c r="B696" s="549">
        <f>'CB40'!$C$60</f>
        <v>0</v>
      </c>
      <c r="C696" s="549">
        <f>'CB40'!$E$60</f>
        <v>0</v>
      </c>
      <c r="D696" s="792">
        <f>'CB40'!$G$60</f>
        <v>0</v>
      </c>
    </row>
    <row r="697" spans="1:4">
      <c r="A697" s="11" t="str">
        <f>C1&amp;".e40.4010102"</f>
        <v>Company Code.e40.4010102</v>
      </c>
      <c r="B697" s="549">
        <f>'CB40'!$C$61</f>
        <v>0</v>
      </c>
      <c r="C697" s="549">
        <f>'CB40'!$E$61</f>
        <v>0</v>
      </c>
      <c r="D697" s="792">
        <f>'CB40'!$G$61</f>
        <v>0</v>
      </c>
    </row>
    <row r="698" spans="1:4">
      <c r="A698" s="11" t="str">
        <f>C1&amp;".e40.40103"</f>
        <v>Company Code.e40.40103</v>
      </c>
      <c r="B698" s="549">
        <f>'CB40'!$C$62</f>
        <v>0</v>
      </c>
      <c r="C698" s="549">
        <f>'CB40'!$E$62</f>
        <v>0</v>
      </c>
      <c r="D698" s="792">
        <f>'CB40'!$G$62</f>
        <v>0</v>
      </c>
    </row>
    <row r="699" spans="1:4">
      <c r="A699" s="11" t="str">
        <f>C1&amp;".e40.4010301"</f>
        <v>Company Code.e40.4010301</v>
      </c>
      <c r="B699" s="549">
        <f>'CB40'!$C$63</f>
        <v>0</v>
      </c>
      <c r="C699" s="549">
        <f>'CB40'!$E$63</f>
        <v>0</v>
      </c>
      <c r="D699" s="792">
        <f>'CB40'!$G$63</f>
        <v>0</v>
      </c>
    </row>
    <row r="700" spans="1:4">
      <c r="A700" s="11" t="str">
        <f>C1&amp;".e40.4010302"</f>
        <v>Company Code.e40.4010302</v>
      </c>
      <c r="B700" s="549">
        <f>'CB40'!$C$64</f>
        <v>0</v>
      </c>
      <c r="C700" s="549">
        <f>'CB40'!$E$64</f>
        <v>0</v>
      </c>
      <c r="D700" s="792">
        <f>'CB40'!$G$64</f>
        <v>0</v>
      </c>
    </row>
    <row r="701" spans="1:4">
      <c r="A701" s="11" t="str">
        <f>C1&amp;".e40.40104"</f>
        <v>Company Code.e40.40104</v>
      </c>
      <c r="B701" s="549">
        <f>'CB40'!$C$65</f>
        <v>0</v>
      </c>
      <c r="C701" s="549">
        <f>'CB40'!$E$65</f>
        <v>0</v>
      </c>
      <c r="D701" s="792">
        <f>'CB40'!$G$65</f>
        <v>0</v>
      </c>
    </row>
    <row r="702" spans="1:4">
      <c r="A702" s="11" t="str">
        <f>C1&amp;".e40.4010403"</f>
        <v>Company Code.e40.4010403</v>
      </c>
      <c r="B702" s="549">
        <f>'CB40'!$C$66</f>
        <v>0</v>
      </c>
      <c r="C702" s="549">
        <f>'CB40'!$E$66</f>
        <v>0</v>
      </c>
      <c r="D702" s="792">
        <f>'CB40'!$G$66</f>
        <v>0</v>
      </c>
    </row>
    <row r="703" spans="1:4">
      <c r="A703" s="11" t="str">
        <f>C1&amp;".e40.401040301"</f>
        <v>Company Code.e40.401040301</v>
      </c>
      <c r="B703" s="549">
        <f>'CB40'!$C$67</f>
        <v>0</v>
      </c>
      <c r="C703" s="549">
        <f>'CB40'!$E$67</f>
        <v>0</v>
      </c>
      <c r="D703" s="792">
        <f>'CB40'!$G$67</f>
        <v>0</v>
      </c>
    </row>
    <row r="704" spans="1:4">
      <c r="A704" s="11" t="str">
        <f>C1&amp;".e40.401040302"</f>
        <v>Company Code.e40.401040302</v>
      </c>
      <c r="B704" s="549">
        <f>'CB40'!$C$68</f>
        <v>0</v>
      </c>
      <c r="C704" s="549">
        <f>'CB40'!$E$68</f>
        <v>0</v>
      </c>
      <c r="D704" s="792">
        <f>'CB40'!$G$68</f>
        <v>0</v>
      </c>
    </row>
    <row r="705" spans="1:4">
      <c r="A705" s="11" t="str">
        <f>C1&amp;".e40.4010404"</f>
        <v>Company Code.e40.4010404</v>
      </c>
      <c r="B705" s="549">
        <f>'CB40'!$C$69</f>
        <v>0</v>
      </c>
      <c r="C705" s="549">
        <f>'CB40'!$E$69</f>
        <v>0</v>
      </c>
      <c r="D705" s="792">
        <f>'CB40'!$G$69</f>
        <v>0</v>
      </c>
    </row>
    <row r="706" spans="1:4">
      <c r="A706" s="11" t="str">
        <f>C1&amp;".e40.40105"</f>
        <v>Company Code.e40.40105</v>
      </c>
      <c r="B706" s="549">
        <f>'CB40'!$C$70</f>
        <v>0</v>
      </c>
      <c r="C706" s="549">
        <f>'CB40'!$E$70</f>
        <v>0</v>
      </c>
      <c r="D706" s="792">
        <f>'CB40'!$G$70</f>
        <v>0</v>
      </c>
    </row>
    <row r="707" spans="1:4">
      <c r="A707" s="11" t="s">
        <v>683</v>
      </c>
    </row>
    <row r="708" spans="1:4">
      <c r="A708" s="11" t="str">
        <f>C1&amp;".e40.40105_1.name"</f>
        <v>Company Code.e40.40105_1.name</v>
      </c>
      <c r="B708" s="492">
        <f>'CB40'!$A$71</f>
        <v>0</v>
      </c>
    </row>
    <row r="709" spans="1:4">
      <c r="A709" s="11" t="str">
        <f>C1&amp;".e40.40105_1.all"</f>
        <v>Company Code.e40.40105_1.all</v>
      </c>
      <c r="B709" s="549">
        <f>'CB40'!$C$71</f>
        <v>0</v>
      </c>
    </row>
    <row r="710" spans="1:4">
      <c r="A710" s="11" t="str">
        <f>C1&amp;".e40.40105_1.tt"</f>
        <v>Company Code.e40.40105_1.tt</v>
      </c>
      <c r="B710" s="549">
        <f>'CB40'!$E$71</f>
        <v>0</v>
      </c>
    </row>
    <row r="711" spans="1:4">
      <c r="A711" s="11" t="str">
        <f>C1&amp;".e40.40105_1.for"</f>
        <v>Company Code.e40.40105_1.for</v>
      </c>
      <c r="B711" s="549">
        <f>'CB40'!$G$71</f>
        <v>0</v>
      </c>
    </row>
    <row r="712" spans="1:4">
      <c r="A712" s="11" t="str">
        <f>C1&amp;".e40.40105_2.name"</f>
        <v>Company Code.e40.40105_2.name</v>
      </c>
      <c r="B712" s="492">
        <f>'CB40'!$A$72</f>
        <v>0</v>
      </c>
    </row>
    <row r="713" spans="1:4">
      <c r="A713" s="11" t="str">
        <f>C1&amp;".e40.40105_2.all"</f>
        <v>Company Code.e40.40105_2.all</v>
      </c>
      <c r="B713" s="549">
        <f>'CB40'!$C$72</f>
        <v>0</v>
      </c>
    </row>
    <row r="714" spans="1:4">
      <c r="A714" s="11" t="str">
        <f>C1&amp;".e40.40105_2.tt"</f>
        <v>Company Code.e40.40105_2.tt</v>
      </c>
      <c r="B714" s="549">
        <f>'CB40'!$E$72</f>
        <v>0</v>
      </c>
    </row>
    <row r="715" spans="1:4">
      <c r="A715" s="11" t="str">
        <f>C1&amp;".e40.40105_2.for"</f>
        <v>Company Code.e40.40105_2.for</v>
      </c>
      <c r="B715" s="549">
        <f>'CB40'!$G$72</f>
        <v>0</v>
      </c>
    </row>
    <row r="716" spans="1:4">
      <c r="A716" s="11" t="str">
        <f>C1&amp;".e40.40105_3.name"</f>
        <v>Company Code.e40.40105_3.name</v>
      </c>
      <c r="B716" s="492">
        <f>'CB40'!$A$73</f>
        <v>0</v>
      </c>
    </row>
    <row r="717" spans="1:4">
      <c r="A717" s="11" t="str">
        <f>C1&amp;".e40.40105_3.all"</f>
        <v>Company Code.e40.40105_3.all</v>
      </c>
      <c r="B717" s="549">
        <f>'CB40'!$C$73</f>
        <v>0</v>
      </c>
    </row>
    <row r="718" spans="1:4">
      <c r="A718" s="11" t="str">
        <f>C1&amp;".e40.40105_3.tt"</f>
        <v>Company Code.e40.40105_3.tt</v>
      </c>
      <c r="B718" s="549">
        <f>'CB40'!$E$73</f>
        <v>0</v>
      </c>
    </row>
    <row r="719" spans="1:4">
      <c r="A719" s="11" t="str">
        <f>C1&amp;".e40.40105_3.for"</f>
        <v>Company Code.e40.40105_3.for</v>
      </c>
      <c r="B719" s="549">
        <f>'CB40'!$G$73</f>
        <v>0</v>
      </c>
    </row>
    <row r="720" spans="1:4">
      <c r="A720" s="11" t="s">
        <v>684</v>
      </c>
      <c r="B720" s="500" t="s">
        <v>642</v>
      </c>
      <c r="C720" s="501" t="s">
        <v>680</v>
      </c>
      <c r="D720" s="501" t="s">
        <v>681</v>
      </c>
    </row>
    <row r="721" spans="1:4">
      <c r="A721" s="11" t="str">
        <f>C1&amp;".e40.401"</f>
        <v>Company Code.e40.401</v>
      </c>
      <c r="B721" s="549">
        <f>'CB40'!$C$75</f>
        <v>0</v>
      </c>
      <c r="C721" s="549">
        <f>'CB40'!$E$75</f>
        <v>0</v>
      </c>
      <c r="D721" s="549">
        <f>'CB40'!$G$75</f>
        <v>0</v>
      </c>
    </row>
    <row r="722" spans="1:4">
      <c r="A722" s="11" t="str">
        <f>C1&amp;".e40.40201"</f>
        <v>Company Code.e40.40201</v>
      </c>
      <c r="B722" s="549">
        <f>'CB40'!$C$80</f>
        <v>0</v>
      </c>
      <c r="C722" s="549">
        <f>'CB40'!$E$80</f>
        <v>0</v>
      </c>
      <c r="D722" s="549">
        <f>'CB40'!$G$80</f>
        <v>0</v>
      </c>
    </row>
    <row r="723" spans="1:4">
      <c r="A723" s="11" t="str">
        <f>C1&amp;".e40.40204"</f>
        <v>Company Code.e40.40204</v>
      </c>
      <c r="B723" s="549">
        <f>'CB40'!$C$81</f>
        <v>0</v>
      </c>
      <c r="C723" s="549">
        <f>'CB40'!$E$81</f>
        <v>0</v>
      </c>
      <c r="D723" s="549">
        <f>'CB40'!$G$81</f>
        <v>0</v>
      </c>
    </row>
    <row r="724" spans="1:4">
      <c r="A724" s="11" t="str">
        <f>C1&amp;".e40.40205"</f>
        <v>Company Code.e40.40205</v>
      </c>
      <c r="B724" s="549">
        <f>'CB40'!$C$82</f>
        <v>0</v>
      </c>
      <c r="C724" s="549">
        <f>'CB40'!$E$82</f>
        <v>0</v>
      </c>
      <c r="D724" s="549">
        <f>'CB40'!$G$82</f>
        <v>0</v>
      </c>
    </row>
    <row r="725" spans="1:4">
      <c r="A725" s="11" t="str">
        <f>C1&amp;".e40.40206"</f>
        <v>Company Code.e40.40206</v>
      </c>
      <c r="B725" s="549">
        <f>'CB40'!$C$83</f>
        <v>0</v>
      </c>
      <c r="C725" s="549">
        <f>'CB40'!$E$83</f>
        <v>0</v>
      </c>
      <c r="D725" s="549">
        <f>'CB40'!$G$83</f>
        <v>0</v>
      </c>
    </row>
    <row r="726" spans="1:4">
      <c r="A726" s="11" t="str">
        <f>C1&amp;".e40.40207"</f>
        <v>Company Code.e40.40207</v>
      </c>
      <c r="B726" s="549">
        <f>'CB40'!$C$84</f>
        <v>0</v>
      </c>
      <c r="C726" s="549">
        <f>'CB40'!$E$84</f>
        <v>0</v>
      </c>
      <c r="D726" s="549">
        <f>'CB40'!$G$84</f>
        <v>0</v>
      </c>
    </row>
    <row r="727" spans="1:4">
      <c r="A727" s="11" t="str">
        <f>C1&amp;".e40.40208"</f>
        <v>Company Code.e40.40208</v>
      </c>
      <c r="B727" s="549">
        <f>'CB40'!$C$85</f>
        <v>0</v>
      </c>
      <c r="C727" s="549">
        <f>'CB40'!$E$85</f>
        <v>0</v>
      </c>
      <c r="D727" s="549">
        <f>'CB40'!$G$85</f>
        <v>0</v>
      </c>
    </row>
    <row r="728" spans="1:4">
      <c r="A728" s="11" t="str">
        <f>C1&amp;".e40.40209"</f>
        <v>Company Code.e40.40209</v>
      </c>
      <c r="B728" s="549">
        <f>'CB40'!$C$86</f>
        <v>0</v>
      </c>
      <c r="C728" s="549">
        <f>'CB40'!$E$86</f>
        <v>0</v>
      </c>
      <c r="D728" s="549">
        <f>'CB40'!$G$86</f>
        <v>0</v>
      </c>
    </row>
    <row r="729" spans="1:4">
      <c r="A729" s="11" t="s">
        <v>685</v>
      </c>
    </row>
    <row r="730" spans="1:4">
      <c r="A730" s="11" t="str">
        <f>C1&amp;".e40.40209_1.name"</f>
        <v>Company Code.e40.40209_1.name</v>
      </c>
      <c r="B730" s="492">
        <f>'CB40'!$A$87</f>
        <v>0</v>
      </c>
    </row>
    <row r="731" spans="1:4">
      <c r="A731" s="11" t="str">
        <f>C1&amp;".e40.40209_1.all"</f>
        <v>Company Code.e40.40209_1.all</v>
      </c>
      <c r="B731" s="549">
        <f>'CB40'!$C$87</f>
        <v>0</v>
      </c>
    </row>
    <row r="732" spans="1:4">
      <c r="A732" s="11" t="str">
        <f>C1&amp;".e40.40209_1.tt"</f>
        <v>Company Code.e40.40209_1.tt</v>
      </c>
      <c r="B732" s="549">
        <f>'CB40'!$E$87</f>
        <v>0</v>
      </c>
    </row>
    <row r="733" spans="1:4">
      <c r="A733" s="11" t="str">
        <f>C1&amp;".e40.40209_1.for"</f>
        <v>Company Code.e40.40209_1.for</v>
      </c>
      <c r="B733" s="549">
        <f>'CB40'!$G$87</f>
        <v>0</v>
      </c>
    </row>
    <row r="734" spans="1:4">
      <c r="A734" s="11" t="str">
        <f>C1&amp;".e40.40209_2.name"</f>
        <v>Company Code.e40.40209_2.name</v>
      </c>
      <c r="B734" s="549">
        <f>'CB40'!$A$88</f>
        <v>0</v>
      </c>
    </row>
    <row r="735" spans="1:4">
      <c r="A735" s="11" t="str">
        <f>C1&amp;".e40.40209_2.all"</f>
        <v>Company Code.e40.40209_2.all</v>
      </c>
      <c r="B735" s="549">
        <f>'CB40'!$C$88</f>
        <v>0</v>
      </c>
    </row>
    <row r="736" spans="1:4">
      <c r="A736" s="11" t="str">
        <f>C1&amp;".e40.40209_2.tt"</f>
        <v>Company Code.e40.40209_2.tt</v>
      </c>
      <c r="B736" s="549">
        <f>'CB40'!$E$88</f>
        <v>0</v>
      </c>
    </row>
    <row r="737" spans="1:5">
      <c r="A737" s="11" t="str">
        <f>C1&amp;".e40.40209_2.for"</f>
        <v>Company Code.e40.40209_2.for</v>
      </c>
      <c r="B737" s="549">
        <f>'CB40'!$G$88</f>
        <v>0</v>
      </c>
    </row>
    <row r="738" spans="1:5">
      <c r="A738" s="11" t="str">
        <f>C1&amp;".e40.40209_3.name"</f>
        <v>Company Code.e40.40209_3.name</v>
      </c>
      <c r="B738" s="549">
        <f>'CB40'!$A$89</f>
        <v>0</v>
      </c>
    </row>
    <row r="739" spans="1:5">
      <c r="A739" s="11" t="str">
        <f>C1&amp;".e40.40209_3.all"</f>
        <v>Company Code.e40.40209_3.all</v>
      </c>
      <c r="B739" s="549">
        <f>'CB40'!$C$89</f>
        <v>0</v>
      </c>
    </row>
    <row r="740" spans="1:5">
      <c r="A740" s="11" t="str">
        <f>C1&amp;".e40.40209_3.tt"</f>
        <v>Company Code.e40.40209_3.tt</v>
      </c>
      <c r="B740" s="549">
        <f>'CB40'!$E$89</f>
        <v>0</v>
      </c>
    </row>
    <row r="741" spans="1:5">
      <c r="A741" s="11" t="str">
        <f>C1&amp;".e40.40209_3.for"</f>
        <v>Company Code.e40.40209_3.for</v>
      </c>
      <c r="B741" s="549">
        <f>'CB40'!$G$89</f>
        <v>0</v>
      </c>
    </row>
    <row r="742" spans="1:5">
      <c r="A742" s="11" t="str">
        <f>C1&amp;".e40.40209_4.name"</f>
        <v>Company Code.e40.40209_4.name</v>
      </c>
      <c r="B742" s="549">
        <f>'CB40'!$A$90</f>
        <v>0</v>
      </c>
    </row>
    <row r="743" spans="1:5">
      <c r="A743" s="11" t="str">
        <f>C1&amp;".e40.40209_4.all"</f>
        <v>Company Code.e40.40209_4.all</v>
      </c>
      <c r="B743" s="549">
        <f>'CB40'!$C$90</f>
        <v>0</v>
      </c>
    </row>
    <row r="744" spans="1:5">
      <c r="A744" s="11" t="str">
        <f>C1&amp;".e40.40209_4.tt"</f>
        <v>Company Code.e40.40209_4.tt</v>
      </c>
      <c r="B744" s="549">
        <f>'CB40'!$E$90</f>
        <v>0</v>
      </c>
    </row>
    <row r="745" spans="1:5">
      <c r="A745" s="11" t="str">
        <f>C1&amp;".e40.40209_4.for"</f>
        <v>Company Code.e40.40209_4.for</v>
      </c>
      <c r="B745" s="549">
        <f>'CB40'!$G$90</f>
        <v>0</v>
      </c>
    </row>
    <row r="746" spans="1:5">
      <c r="A746" s="11" t="s">
        <v>686</v>
      </c>
      <c r="B746" s="500" t="s">
        <v>642</v>
      </c>
      <c r="C746" s="501" t="s">
        <v>680</v>
      </c>
      <c r="D746" s="501" t="s">
        <v>681</v>
      </c>
    </row>
    <row r="747" spans="1:5">
      <c r="A747" s="11" t="str">
        <f>C1&amp;".e40.402"</f>
        <v>Company Code.e40.402</v>
      </c>
      <c r="B747" s="549">
        <f>'CB40'!$C$92</f>
        <v>0</v>
      </c>
      <c r="C747" s="549">
        <f>'CB40'!$E$92</f>
        <v>0</v>
      </c>
      <c r="D747" s="549">
        <f>'CB40'!$G$92</f>
        <v>0</v>
      </c>
    </row>
    <row r="748" spans="1:5">
      <c r="A748" s="553" t="str">
        <f>C1&amp;".e40.40801"</f>
        <v>Company Code.e40.40801</v>
      </c>
      <c r="B748" s="552">
        <f>'CB40'!$C$97</f>
        <v>0</v>
      </c>
      <c r="C748" s="552">
        <f>'CB40'!$E$97</f>
        <v>0</v>
      </c>
      <c r="D748" s="552">
        <f>'CB40'!$G$97</f>
        <v>0</v>
      </c>
      <c r="E748" s="551"/>
    </row>
    <row r="749" spans="1:5">
      <c r="A749" s="553" t="str">
        <f>C1&amp;".e40.4080101"</f>
        <v>Company Code.e40.4080101</v>
      </c>
      <c r="B749" s="552">
        <f>'CB40'!$C$98</f>
        <v>0</v>
      </c>
      <c r="C749" s="552">
        <f>'CB40'!$E$98</f>
        <v>0</v>
      </c>
      <c r="D749" s="552">
        <f>'CB40'!$G$98</f>
        <v>0</v>
      </c>
      <c r="E749" s="551"/>
    </row>
    <row r="750" spans="1:5">
      <c r="A750" s="553" t="str">
        <f>C1&amp;".e40.4080102"</f>
        <v>Company Code.e40.4080102</v>
      </c>
      <c r="B750" s="552">
        <f>'CB40'!$C$99</f>
        <v>0</v>
      </c>
      <c r="C750" s="552">
        <f>'CB40'!$E$99</f>
        <v>0</v>
      </c>
      <c r="D750" s="552">
        <f>'CB40'!$G$99</f>
        <v>0</v>
      </c>
      <c r="E750" s="551"/>
    </row>
    <row r="751" spans="1:5">
      <c r="A751" s="553" t="str">
        <f>C1&amp;".e40.4080103"</f>
        <v>Company Code.e40.4080103</v>
      </c>
      <c r="B751" s="552">
        <f>'CB40'!$C$100</f>
        <v>0</v>
      </c>
      <c r="C751" s="552">
        <f>'CB40'!$E$100</f>
        <v>0</v>
      </c>
      <c r="D751" s="552">
        <f>'CB40'!$G$100</f>
        <v>0</v>
      </c>
      <c r="E751" s="551"/>
    </row>
    <row r="752" spans="1:5">
      <c r="A752" s="553" t="str">
        <f>C1&amp;".e40.4080109"</f>
        <v>Company Code.e40.4080109</v>
      </c>
      <c r="B752" s="552">
        <f>'CB40'!$C$101</f>
        <v>0</v>
      </c>
      <c r="C752" s="552">
        <f>'CB40'!$E$101</f>
        <v>0</v>
      </c>
      <c r="D752" s="552">
        <f>'CB40'!$G$101</f>
        <v>0</v>
      </c>
      <c r="E752" s="551"/>
    </row>
    <row r="753" spans="1:5">
      <c r="A753" s="553" t="s">
        <v>687</v>
      </c>
      <c r="B753" s="552"/>
      <c r="C753" s="552"/>
      <c r="D753" s="552"/>
      <c r="E753" s="551"/>
    </row>
    <row r="754" spans="1:5">
      <c r="A754" s="553" t="str">
        <f>C1&amp;".e40.40802"</f>
        <v>Company Code.e40.40802</v>
      </c>
      <c r="B754" s="552">
        <f>'CB40'!$C$102</f>
        <v>0</v>
      </c>
      <c r="C754" s="552">
        <f>'CB40'!$E$102</f>
        <v>0</v>
      </c>
      <c r="D754" s="552">
        <f>'CB40'!$G$102</f>
        <v>0</v>
      </c>
      <c r="E754" s="551"/>
    </row>
    <row r="755" spans="1:5">
      <c r="A755" s="553" t="str">
        <f>C1&amp;".e40.4080201"</f>
        <v>Company Code.e40.4080201</v>
      </c>
      <c r="B755" s="552">
        <f>'CB40'!$C$103</f>
        <v>0</v>
      </c>
      <c r="C755" s="552">
        <f>'CB40'!$E$103</f>
        <v>0</v>
      </c>
      <c r="D755" s="552">
        <f>'CB40'!$G$103</f>
        <v>0</v>
      </c>
      <c r="E755" s="551"/>
    </row>
    <row r="756" spans="1:5">
      <c r="A756" s="553" t="str">
        <f>C1&amp;".e40.4080202"</f>
        <v>Company Code.e40.4080202</v>
      </c>
      <c r="B756" s="552">
        <f>'CB40'!$C$104</f>
        <v>0</v>
      </c>
      <c r="C756" s="552">
        <f>'CB40'!$E$104</f>
        <v>0</v>
      </c>
      <c r="D756" s="552">
        <f>'CB40'!$G$104</f>
        <v>0</v>
      </c>
      <c r="E756" s="551"/>
    </row>
    <row r="757" spans="1:5">
      <c r="A757" s="553" t="str">
        <f>C1&amp;".e40.4080203"</f>
        <v>Company Code.e40.4080203</v>
      </c>
      <c r="B757" s="552">
        <f>'CB40'!$C$105</f>
        <v>0</v>
      </c>
      <c r="C757" s="552">
        <f>'CB40'!$E$105</f>
        <v>0</v>
      </c>
      <c r="D757" s="552">
        <f>'CB40'!$G$105</f>
        <v>0</v>
      </c>
      <c r="E757" s="551"/>
    </row>
    <row r="758" spans="1:5">
      <c r="A758" s="553" t="str">
        <f>C1&amp;".e40.4080209"</f>
        <v>Company Code.e40.4080209</v>
      </c>
      <c r="B758" s="552">
        <f>'CB40'!$C$106</f>
        <v>0</v>
      </c>
      <c r="C758" s="552">
        <f>'CB40'!$E$106</f>
        <v>0</v>
      </c>
      <c r="D758" s="552">
        <f>'CB40'!$G$106</f>
        <v>0</v>
      </c>
      <c r="E758" s="551"/>
    </row>
    <row r="759" spans="1:5">
      <c r="A759" s="553" t="str">
        <f>C1&amp;".e40.40809"</f>
        <v>Company Code.e40.40809</v>
      </c>
      <c r="B759" s="552">
        <f>'CB40'!$C$107</f>
        <v>0</v>
      </c>
      <c r="C759" s="552">
        <f>'CB40'!$E$107</f>
        <v>0</v>
      </c>
      <c r="D759" s="552">
        <f>'CB40'!$G$107</f>
        <v>0</v>
      </c>
      <c r="E759" s="551"/>
    </row>
    <row r="760" spans="1:5">
      <c r="A760" s="553" t="s">
        <v>689</v>
      </c>
      <c r="B760" s="552"/>
      <c r="C760" s="552"/>
      <c r="D760" s="552"/>
      <c r="E760" s="551"/>
    </row>
    <row r="761" spans="1:5">
      <c r="A761" s="553" t="str">
        <f>C1&amp;".e40.40809_1.name"</f>
        <v>Company Code.e40.40809_1.name</v>
      </c>
      <c r="B761" s="554">
        <f>'CB40'!$A$108</f>
        <v>0</v>
      </c>
      <c r="C761" s="555"/>
      <c r="D761" s="555"/>
    </row>
    <row r="762" spans="1:5">
      <c r="A762" s="553" t="str">
        <f>C1&amp;".e40.40809_1.all"</f>
        <v>Company Code.e40.40809_1.all</v>
      </c>
      <c r="B762" s="556">
        <f>'CB40'!$C$108</f>
        <v>0</v>
      </c>
      <c r="C762" s="555"/>
      <c r="D762" s="555"/>
    </row>
    <row r="763" spans="1:5">
      <c r="A763" s="553" t="str">
        <f>C1&amp;".e40.40809_1.tt"</f>
        <v>Company Code.e40.40809_1.tt</v>
      </c>
      <c r="B763" s="556">
        <f>'CB40'!$E$108</f>
        <v>0</v>
      </c>
      <c r="C763" s="555"/>
      <c r="D763" s="555"/>
    </row>
    <row r="764" spans="1:5">
      <c r="A764" s="553" t="str">
        <f>C1&amp;".e40.40809_1.for"</f>
        <v>Company Code.e40.40809_1.for</v>
      </c>
      <c r="B764" s="556">
        <f>'CB40'!$G$108</f>
        <v>0</v>
      </c>
      <c r="C764" s="555"/>
      <c r="D764" s="555"/>
    </row>
    <row r="765" spans="1:5">
      <c r="A765" s="553" t="str">
        <f>C1&amp;".e40.40809_2.name"</f>
        <v>Company Code.e40.40809_2.name</v>
      </c>
      <c r="B765" s="556">
        <f>'CB40'!$A$109</f>
        <v>0</v>
      </c>
      <c r="C765" s="555"/>
      <c r="D765" s="555"/>
    </row>
    <row r="766" spans="1:5">
      <c r="A766" s="553" t="str">
        <f>C1&amp;".e40.40809_2.all"</f>
        <v>Company Code.e40.40809_2.all</v>
      </c>
      <c r="B766" s="556">
        <f>'CB40'!$C$109</f>
        <v>0</v>
      </c>
      <c r="C766" s="555"/>
      <c r="D766" s="555"/>
    </row>
    <row r="767" spans="1:5">
      <c r="A767" s="553" t="str">
        <f>C1&amp;".e40.40809_2.tt"</f>
        <v>Company Code.e40.40809_2.tt</v>
      </c>
      <c r="B767" s="556">
        <f>'CB40'!$E$109</f>
        <v>0</v>
      </c>
      <c r="C767" s="555"/>
      <c r="D767" s="555"/>
    </row>
    <row r="768" spans="1:5">
      <c r="A768" s="553" t="str">
        <f>C1&amp;".e40.40809_2.for"</f>
        <v>Company Code.e40.40809_2.for</v>
      </c>
      <c r="B768" s="556">
        <f>'CB40'!$G$109</f>
        <v>0</v>
      </c>
      <c r="C768" s="555"/>
      <c r="D768" s="555"/>
    </row>
    <row r="769" spans="1:5">
      <c r="A769" s="553" t="str">
        <f>C1&amp;".e40.40809_3.name"</f>
        <v>Company Code.e40.40809_3.name</v>
      </c>
      <c r="B769" s="556">
        <f>'CB40'!$A$110</f>
        <v>0</v>
      </c>
      <c r="C769" s="555"/>
      <c r="D769" s="555"/>
    </row>
    <row r="770" spans="1:5">
      <c r="A770" s="553" t="str">
        <f>C1&amp;".e40.40809_3.all"</f>
        <v>Company Code.e40.40809_3.all</v>
      </c>
      <c r="B770" s="556">
        <f>'CB40'!$C$110</f>
        <v>0</v>
      </c>
      <c r="C770" s="555"/>
      <c r="D770" s="555"/>
    </row>
    <row r="771" spans="1:5">
      <c r="A771" s="553" t="str">
        <f>C1&amp;".e40.40809_3.tt"</f>
        <v>Company Code.e40.40809_3.tt</v>
      </c>
      <c r="B771" s="556">
        <f>'CB40'!$E$110</f>
        <v>0</v>
      </c>
      <c r="C771" s="555"/>
      <c r="D771" s="555"/>
    </row>
    <row r="772" spans="1:5">
      <c r="A772" s="553" t="str">
        <f>C1&amp;".e40.40809_3.for"</f>
        <v>Company Code.e40.40809_3.for</v>
      </c>
      <c r="B772" s="556">
        <f>'CB40'!$G$110</f>
        <v>0</v>
      </c>
      <c r="C772" s="555"/>
      <c r="D772" s="555"/>
    </row>
    <row r="773" spans="1:5">
      <c r="A773" s="553" t="str">
        <f>C1&amp;".e40.40809_4.name"</f>
        <v>Company Code.e40.40809_4.name</v>
      </c>
      <c r="B773" s="556">
        <f>'CB40'!$A$111</f>
        <v>0</v>
      </c>
      <c r="C773" s="555"/>
      <c r="D773" s="555"/>
    </row>
    <row r="774" spans="1:5">
      <c r="A774" s="553" t="str">
        <f>C1&amp;".e40.40809_4.all"</f>
        <v>Company Code.e40.40809_4.all</v>
      </c>
      <c r="B774" s="556">
        <f>'CB40'!$C$111</f>
        <v>0</v>
      </c>
      <c r="C774" s="555"/>
      <c r="D774" s="555"/>
    </row>
    <row r="775" spans="1:5">
      <c r="A775" s="553" t="str">
        <f>C1&amp;".e40.40809_4.tt"</f>
        <v>Company Code.e40.40809_4.tt</v>
      </c>
      <c r="B775" s="556">
        <f>'CB40'!$E$111</f>
        <v>0</v>
      </c>
      <c r="C775" s="555"/>
      <c r="D775" s="555"/>
    </row>
    <row r="776" spans="1:5">
      <c r="A776" s="553" t="str">
        <f>C1&amp;".e40.40809_4.for"</f>
        <v>Company Code.e40.40809_4.for</v>
      </c>
      <c r="B776" s="556">
        <f>'CB40'!$G$111</f>
        <v>0</v>
      </c>
      <c r="C776" s="555"/>
      <c r="D776" s="555"/>
    </row>
    <row r="777" spans="1:5">
      <c r="A777" s="553" t="str">
        <f>C1&amp;".e40.40809_5.name"</f>
        <v>Company Code.e40.40809_5.name</v>
      </c>
      <c r="B777" s="556">
        <f>'CB40'!$A$112</f>
        <v>0</v>
      </c>
      <c r="C777" s="557"/>
      <c r="D777" s="558"/>
      <c r="E777" s="551"/>
    </row>
    <row r="778" spans="1:5">
      <c r="A778" s="553" t="str">
        <f>C1&amp;".e40.40809_5.all"</f>
        <v>Company Code.e40.40809_5.all</v>
      </c>
      <c r="B778" s="556">
        <f>'CB40'!$C$112</f>
        <v>0</v>
      </c>
      <c r="C778" s="557"/>
      <c r="D778" s="558"/>
      <c r="E778" s="551"/>
    </row>
    <row r="779" spans="1:5">
      <c r="A779" s="553" t="str">
        <f>C1&amp;".e40.40809_5.tt"</f>
        <v>Company Code.e40.40809_5.tt</v>
      </c>
      <c r="B779" s="556">
        <f>'CB40'!$E$112</f>
        <v>0</v>
      </c>
      <c r="C779" s="557"/>
      <c r="D779" s="558"/>
      <c r="E779" s="551"/>
    </row>
    <row r="780" spans="1:5">
      <c r="A780" s="553" t="str">
        <f>C1&amp;".e40.40809_5.for"</f>
        <v>Company Code.e40.40809_5.for</v>
      </c>
      <c r="B780" s="556">
        <f>'CB40'!$G$112</f>
        <v>0</v>
      </c>
      <c r="C780" s="557"/>
      <c r="D780" s="558"/>
      <c r="E780" s="551"/>
    </row>
    <row r="781" spans="1:5">
      <c r="A781" s="11" t="s">
        <v>690</v>
      </c>
      <c r="B781" s="501" t="s">
        <v>688</v>
      </c>
      <c r="C781" s="500" t="s">
        <v>642</v>
      </c>
      <c r="D781" s="501" t="s">
        <v>680</v>
      </c>
      <c r="E781" s="501" t="s">
        <v>681</v>
      </c>
    </row>
    <row r="782" spans="1:5">
      <c r="A782" s="11" t="str">
        <f>C1&amp;".e40.412010101"</f>
        <v>Company Code.e40.412010101</v>
      </c>
      <c r="B782" s="549">
        <f>'CB40'!$B$121</f>
        <v>0</v>
      </c>
      <c r="C782" s="549">
        <f>'CB40'!$C$121</f>
        <v>0</v>
      </c>
      <c r="D782" s="549">
        <f>'CB40'!$E$121</f>
        <v>0</v>
      </c>
      <c r="E782" s="549">
        <f>'CB40'!$G$121</f>
        <v>0</v>
      </c>
    </row>
    <row r="783" spans="1:5">
      <c r="A783" s="11" t="str">
        <f>C1&amp;".e40.412010102"</f>
        <v>Company Code.e40.412010102</v>
      </c>
      <c r="B783" s="549">
        <f>'CB40'!$B$122</f>
        <v>0</v>
      </c>
      <c r="C783" s="549">
        <f>'CB40'!$C$122</f>
        <v>0</v>
      </c>
      <c r="D783" s="549">
        <f>'CB40'!$E$122</f>
        <v>0</v>
      </c>
      <c r="E783" s="549">
        <f>'CB40'!$G$122</f>
        <v>0</v>
      </c>
    </row>
    <row r="784" spans="1:5">
      <c r="A784" s="11" t="str">
        <f>C1&amp;".e40.412010103"</f>
        <v>Company Code.e40.412010103</v>
      </c>
      <c r="B784" s="549">
        <f>'CB40'!$B$123</f>
        <v>0</v>
      </c>
      <c r="C784" s="549">
        <f>'CB40'!$C$123</f>
        <v>0</v>
      </c>
      <c r="D784" s="549">
        <f>'CB40'!$E$123</f>
        <v>0</v>
      </c>
      <c r="E784" s="549">
        <f>'CB40'!$G$123</f>
        <v>0</v>
      </c>
    </row>
    <row r="785" spans="1:5">
      <c r="A785" s="11" t="str">
        <f>C1&amp;".e40.412010104"</f>
        <v>Company Code.e40.412010104</v>
      </c>
      <c r="B785" s="549">
        <f>'CB40'!$B$124</f>
        <v>0</v>
      </c>
      <c r="C785" s="549">
        <f>'CB40'!$C$124</f>
        <v>0</v>
      </c>
      <c r="D785" s="549">
        <f>'CB40'!$E$124</f>
        <v>0</v>
      </c>
      <c r="E785" s="549">
        <f>'CB40'!$G$124</f>
        <v>0</v>
      </c>
    </row>
    <row r="786" spans="1:5">
      <c r="A786" s="11" t="str">
        <f>C1&amp;".e40.412010105"</f>
        <v>Company Code.e40.412010105</v>
      </c>
      <c r="B786" s="549">
        <f>'CB40'!$B$125</f>
        <v>0</v>
      </c>
      <c r="C786" s="549">
        <f>'CB40'!$C$125</f>
        <v>0</v>
      </c>
      <c r="D786" s="549">
        <f>'CB40'!$E$125</f>
        <v>0</v>
      </c>
      <c r="E786" s="549">
        <f>'CB40'!$G$125</f>
        <v>0</v>
      </c>
    </row>
    <row r="787" spans="1:5">
      <c r="A787" s="11" t="str">
        <f>C1&amp;".e40.412010106"</f>
        <v>Company Code.e40.412010106</v>
      </c>
      <c r="B787" s="549">
        <f>'CB40'!$B$126</f>
        <v>0</v>
      </c>
      <c r="C787" s="549">
        <f>'CB40'!$C$126</f>
        <v>0</v>
      </c>
      <c r="D787" s="549">
        <f>'CB40'!$E$126</f>
        <v>0</v>
      </c>
      <c r="E787" s="549">
        <f>'CB40'!$G$126</f>
        <v>0</v>
      </c>
    </row>
    <row r="788" spans="1:5">
      <c r="A788" s="11" t="s">
        <v>691</v>
      </c>
    </row>
    <row r="789" spans="1:5">
      <c r="A789" s="11" t="s">
        <v>692</v>
      </c>
      <c r="B789" s="501" t="s">
        <v>688</v>
      </c>
      <c r="C789" s="500" t="s">
        <v>642</v>
      </c>
      <c r="D789" s="501" t="s">
        <v>680</v>
      </c>
      <c r="E789" s="501" t="s">
        <v>681</v>
      </c>
    </row>
    <row r="790" spans="1:5">
      <c r="A790" s="11" t="str">
        <f>C1&amp;".e40.412010107"</f>
        <v>Company Code.e40.412010107</v>
      </c>
      <c r="B790" s="549">
        <f>'CB40'!$B$127</f>
        <v>0</v>
      </c>
      <c r="C790" s="549">
        <f>'CB40'!$C$127</f>
        <v>0</v>
      </c>
      <c r="D790" s="549">
        <f>'CB40'!$E$127</f>
        <v>0</v>
      </c>
      <c r="E790" s="549">
        <f>'CB40'!$G$127</f>
        <v>0</v>
      </c>
    </row>
    <row r="791" spans="1:5">
      <c r="A791" s="11" t="str">
        <f>C1&amp;".e40.412010108"</f>
        <v>Company Code.e40.412010108</v>
      </c>
      <c r="B791" s="549">
        <f>'CB40'!$B$128</f>
        <v>0</v>
      </c>
      <c r="C791" s="549">
        <f>'CB40'!$C$128</f>
        <v>0</v>
      </c>
      <c r="D791" s="549">
        <f>'CB40'!$E$128</f>
        <v>0</v>
      </c>
      <c r="E791" s="549">
        <f>'CB40'!$G$128</f>
        <v>0</v>
      </c>
    </row>
    <row r="792" spans="1:5">
      <c r="A792" s="11" t="str">
        <f>C1&amp;".e40.412010109"</f>
        <v>Company Code.e40.412010109</v>
      </c>
      <c r="B792" s="549">
        <f>'CB40'!$B$129</f>
        <v>0</v>
      </c>
      <c r="C792" s="549">
        <f>'CB40'!$C$129</f>
        <v>0</v>
      </c>
      <c r="D792" s="549">
        <f>'CB40'!$E$129</f>
        <v>0</v>
      </c>
      <c r="E792" s="549">
        <f>'CB40'!$G$129</f>
        <v>0</v>
      </c>
    </row>
    <row r="793" spans="1:5">
      <c r="A793" s="11" t="str">
        <f>C1&amp;".e40.412010110"</f>
        <v>Company Code.e40.412010110</v>
      </c>
      <c r="B793" s="549">
        <f>'CB40'!$B$130</f>
        <v>0</v>
      </c>
      <c r="C793" s="549">
        <f>'CB40'!$C$130</f>
        <v>0</v>
      </c>
      <c r="D793" s="549">
        <f>'CB40'!$E$130</f>
        <v>0</v>
      </c>
      <c r="E793" s="549">
        <f>'CB40'!$G$130</f>
        <v>0</v>
      </c>
    </row>
    <row r="794" spans="1:5">
      <c r="A794" s="11" t="str">
        <f>C1&amp;".e40.412010111"</f>
        <v>Company Code.e40.412010111</v>
      </c>
      <c r="B794" s="549">
        <f>'CB40'!$B$131</f>
        <v>0</v>
      </c>
      <c r="C794" s="549">
        <f>'CB40'!$C$131</f>
        <v>0</v>
      </c>
      <c r="D794" s="549">
        <f>'CB40'!$E$131</f>
        <v>0</v>
      </c>
      <c r="E794" s="549">
        <f>'CB40'!$G$131</f>
        <v>0</v>
      </c>
    </row>
    <row r="795" spans="1:5">
      <c r="A795" s="11" t="str">
        <f>C1&amp;".e40.412010112"</f>
        <v>Company Code.e40.412010112</v>
      </c>
      <c r="B795" s="549">
        <f>'CB40'!$B$132</f>
        <v>0</v>
      </c>
      <c r="C795" s="549">
        <f>'CB40'!$C$132</f>
        <v>0</v>
      </c>
      <c r="D795" s="549">
        <f>'CB40'!$E$132</f>
        <v>0</v>
      </c>
      <c r="E795" s="549">
        <f>'CB40'!$G$132</f>
        <v>0</v>
      </c>
    </row>
    <row r="796" spans="1:5">
      <c r="A796" s="11" t="str">
        <f>C1&amp;".e40.412010113"</f>
        <v>Company Code.e40.412010113</v>
      </c>
      <c r="B796" s="549">
        <f>'CB40'!$B$133</f>
        <v>0</v>
      </c>
      <c r="C796" s="549">
        <f>'CB40'!$C$133</f>
        <v>0</v>
      </c>
      <c r="D796" s="549">
        <f>'CB40'!$E$133</f>
        <v>0</v>
      </c>
      <c r="E796" s="549">
        <f>'CB40'!$G$133</f>
        <v>0</v>
      </c>
    </row>
    <row r="797" spans="1:5">
      <c r="A797" s="11" t="str">
        <f>C1&amp;".e40.412010114"</f>
        <v>Company Code.e40.412010114</v>
      </c>
      <c r="B797" s="549">
        <f>'CB40'!$B$134</f>
        <v>0</v>
      </c>
      <c r="C797" s="549">
        <f>'CB40'!$C$134</f>
        <v>0</v>
      </c>
      <c r="D797" s="549">
        <f>'CB40'!$E$134</f>
        <v>0</v>
      </c>
      <c r="E797" s="549">
        <f>'CB40'!$G$134</f>
        <v>0</v>
      </c>
    </row>
    <row r="798" spans="1:5">
      <c r="A798" s="11" t="str">
        <f>C1&amp;".e40.412010115"</f>
        <v>Company Code.e40.412010115</v>
      </c>
      <c r="B798" s="549">
        <f>'CB40'!$B$135</f>
        <v>0</v>
      </c>
      <c r="C798" s="549">
        <f>'CB40'!$C$135</f>
        <v>0</v>
      </c>
      <c r="D798" s="549">
        <f>'CB40'!$E$135</f>
        <v>0</v>
      </c>
      <c r="E798" s="549">
        <f>'CB40'!$G$135</f>
        <v>0</v>
      </c>
    </row>
    <row r="799" spans="1:5">
      <c r="A799" s="11" t="str">
        <f>C1&amp;".e40.4120101"</f>
        <v>Company Code.e40.4120101</v>
      </c>
      <c r="B799" s="549">
        <f>'CB40'!$B$136</f>
        <v>0</v>
      </c>
      <c r="C799" s="549">
        <f>'CB40'!$C$136</f>
        <v>0</v>
      </c>
      <c r="D799" s="549">
        <f>'CB40'!$E$136</f>
        <v>0</v>
      </c>
      <c r="E799" s="549">
        <f>'CB40'!$G$136</f>
        <v>0</v>
      </c>
    </row>
    <row r="800" spans="1:5">
      <c r="A800" s="11" t="str">
        <f>$C$1&amp;".e40.412010201"</f>
        <v>Company Code.e40.412010201</v>
      </c>
      <c r="B800" s="549">
        <f>'CB40'!$B$139</f>
        <v>0</v>
      </c>
      <c r="C800" s="549">
        <f>'CB40'!$C$139</f>
        <v>0</v>
      </c>
      <c r="D800" s="549">
        <f>'CB40'!$E$139</f>
        <v>0</v>
      </c>
      <c r="E800" s="549">
        <f>'CB40'!$G$139</f>
        <v>0</v>
      </c>
    </row>
    <row r="801" spans="1:6">
      <c r="A801" s="11" t="str">
        <f>$C$1&amp;".e40.412010202"</f>
        <v>Company Code.e40.412010202</v>
      </c>
      <c r="B801" s="549">
        <f>'CB40'!$B$140</f>
        <v>0</v>
      </c>
      <c r="C801" s="549">
        <f>'CB40'!$C$140</f>
        <v>0</v>
      </c>
      <c r="D801" s="549">
        <f>'CB40'!$E$140</f>
        <v>0</v>
      </c>
      <c r="E801" s="549">
        <f>'CB40'!$G$140</f>
        <v>0</v>
      </c>
    </row>
    <row r="802" spans="1:6">
      <c r="A802" s="11" t="str">
        <f>$C$1&amp;".e40.412010203"</f>
        <v>Company Code.e40.412010203</v>
      </c>
      <c r="B802" s="549">
        <f>'CB40'!$B$141</f>
        <v>0</v>
      </c>
      <c r="C802" s="549">
        <f>'CB40'!$C$141</f>
        <v>0</v>
      </c>
      <c r="D802" s="549">
        <f>'CB40'!$E$141</f>
        <v>0</v>
      </c>
      <c r="E802" s="549">
        <f>'CB40'!$G$141</f>
        <v>0</v>
      </c>
    </row>
    <row r="803" spans="1:6">
      <c r="A803" s="11" t="str">
        <f>$C$1&amp;".e40.412010204"</f>
        <v>Company Code.e40.412010204</v>
      </c>
      <c r="B803" s="765">
        <f>'CB40'!$B$142</f>
        <v>0</v>
      </c>
      <c r="C803" s="765">
        <f>'CB40'!$C$142</f>
        <v>0</v>
      </c>
      <c r="D803" s="765">
        <f>'CB40'!$E$142</f>
        <v>0</v>
      </c>
      <c r="E803" s="765">
        <f>'CB40'!$G$142</f>
        <v>0</v>
      </c>
      <c r="F803" s="495"/>
    </row>
    <row r="804" spans="1:6">
      <c r="A804" s="11" t="str">
        <f>$C$1&amp;".e40.412010205"</f>
        <v>Company Code.e40.412010205</v>
      </c>
      <c r="B804" s="765">
        <f>'CB40'!$B$143</f>
        <v>0</v>
      </c>
      <c r="C804" s="765">
        <f>'CB40'!$C$143</f>
        <v>0</v>
      </c>
      <c r="D804" s="765">
        <f>'CB40'!$E$143</f>
        <v>0</v>
      </c>
      <c r="E804" s="765">
        <f>'CB40'!$G$143</f>
        <v>0</v>
      </c>
      <c r="F804" s="495"/>
    </row>
    <row r="805" spans="1:6">
      <c r="A805" s="11" t="str">
        <f>$C$1&amp;".e40.412010206"</f>
        <v>Company Code.e40.412010206</v>
      </c>
      <c r="B805" s="765">
        <f>'CB40'!$B$144</f>
        <v>0</v>
      </c>
      <c r="C805" s="765">
        <f>'CB40'!$C$144</f>
        <v>0</v>
      </c>
      <c r="D805" s="765">
        <f>'CB40'!$E$144</f>
        <v>0</v>
      </c>
      <c r="E805" s="765">
        <f>'CB40'!$G$144</f>
        <v>0</v>
      </c>
      <c r="F805" s="495"/>
    </row>
    <row r="806" spans="1:6">
      <c r="A806" s="11" t="str">
        <f>$C$1&amp;".e40.412010207"</f>
        <v>Company Code.e40.412010207</v>
      </c>
      <c r="B806" s="765">
        <f>'CB40'!$B$145</f>
        <v>0</v>
      </c>
      <c r="C806" s="765">
        <f>'CB40'!$C$145</f>
        <v>0</v>
      </c>
      <c r="D806" s="765">
        <f>'CB40'!$E$145</f>
        <v>0</v>
      </c>
      <c r="E806" s="765">
        <f>'CB40'!$G$145</f>
        <v>0</v>
      </c>
      <c r="F806" s="495"/>
    </row>
    <row r="807" spans="1:6">
      <c r="A807" s="11" t="str">
        <f>C1&amp;".e40.4120102"</f>
        <v>Company Code.e40.4120102</v>
      </c>
      <c r="B807" s="549">
        <f>'CB40'!$B$146</f>
        <v>0</v>
      </c>
      <c r="C807" s="549">
        <f>'CB40'!$C$146</f>
        <v>0</v>
      </c>
      <c r="D807" s="549">
        <f>'CB40'!$E$146</f>
        <v>0</v>
      </c>
      <c r="E807" s="549">
        <f>'CB40'!$G$146</f>
        <v>0</v>
      </c>
    </row>
    <row r="808" spans="1:6">
      <c r="A808" s="11" t="str">
        <f>C1&amp;".e40.41201"</f>
        <v>Company Code.e40.41201</v>
      </c>
      <c r="B808" s="549">
        <f>'CB40'!$B$148</f>
        <v>0</v>
      </c>
      <c r="C808" s="549">
        <f>'CB40'!$C$148</f>
        <v>0</v>
      </c>
      <c r="D808" s="549">
        <f>'CB40'!$E$148</f>
        <v>0</v>
      </c>
      <c r="E808" s="549">
        <f>'CB40'!$G$148</f>
        <v>0</v>
      </c>
    </row>
    <row r="809" spans="1:6">
      <c r="A809" s="11" t="str">
        <f>$C$1&amp;".e40.412020101"</f>
        <v>Company Code.e40.412020101</v>
      </c>
      <c r="B809" s="549">
        <f>'CB40'!$B$153</f>
        <v>0</v>
      </c>
      <c r="C809" s="549">
        <f>'CB40'!$C$153</f>
        <v>0</v>
      </c>
      <c r="D809" s="549">
        <f>'CB40'!$E$153</f>
        <v>0</v>
      </c>
      <c r="E809" s="549">
        <f>'CB40'!$G$153</f>
        <v>0</v>
      </c>
    </row>
    <row r="810" spans="1:6">
      <c r="A810" s="11" t="str">
        <f>$C$1&amp;".e40.412020102"</f>
        <v>Company Code.e40.412020102</v>
      </c>
      <c r="B810" s="549">
        <f>'CB40'!$B$154</f>
        <v>0</v>
      </c>
      <c r="C810" s="549">
        <f>'CB40'!$C$154</f>
        <v>0</v>
      </c>
      <c r="D810" s="549">
        <f>'CB40'!$E$154</f>
        <v>0</v>
      </c>
      <c r="E810" s="549">
        <f>'CB40'!$G$154</f>
        <v>0</v>
      </c>
    </row>
    <row r="811" spans="1:6">
      <c r="A811" s="11" t="str">
        <f>$C$1&amp;".e40.412020103"</f>
        <v>Company Code.e40.412020103</v>
      </c>
      <c r="B811" s="549">
        <f>'CB40'!$B$155</f>
        <v>0</v>
      </c>
      <c r="C811" s="549">
        <f>'CB40'!$C$155</f>
        <v>0</v>
      </c>
      <c r="D811" s="549">
        <f>'CB40'!$E$155</f>
        <v>0</v>
      </c>
      <c r="E811" s="549">
        <f>'CB40'!$G$155</f>
        <v>0</v>
      </c>
    </row>
    <row r="812" spans="1:6">
      <c r="A812" s="11" t="str">
        <f>$C$1&amp;".e40.412020104"</f>
        <v>Company Code.e40.412020104</v>
      </c>
      <c r="B812" s="549">
        <f>'CB40'!$B$156</f>
        <v>0</v>
      </c>
      <c r="C812" s="549">
        <f>'CB40'!$C$156</f>
        <v>0</v>
      </c>
      <c r="D812" s="549">
        <f>'CB40'!$E$156</f>
        <v>0</v>
      </c>
      <c r="E812" s="549">
        <f>'CB40'!$G$156</f>
        <v>0</v>
      </c>
    </row>
    <row r="813" spans="1:6">
      <c r="A813" s="11" t="str">
        <f>$C$1&amp;".e40.412020105"</f>
        <v>Company Code.e40.412020105</v>
      </c>
      <c r="B813" s="549">
        <f>'CB40'!$B$157</f>
        <v>0</v>
      </c>
      <c r="C813" s="549">
        <f>'CB40'!$C$157</f>
        <v>0</v>
      </c>
      <c r="D813" s="549">
        <f>'CB40'!$E$157</f>
        <v>0</v>
      </c>
      <c r="E813" s="549">
        <f>'CB40'!$G$157</f>
        <v>0</v>
      </c>
    </row>
    <row r="814" spans="1:6">
      <c r="A814" s="11" t="str">
        <f>$C$1&amp;".e40.412020106"</f>
        <v>Company Code.e40.412020106</v>
      </c>
      <c r="B814" s="549">
        <f>'CB40'!$B$158</f>
        <v>0</v>
      </c>
      <c r="C814" s="549">
        <f>'CB40'!$C$158</f>
        <v>0</v>
      </c>
      <c r="D814" s="549">
        <f>'CB40'!$E$158</f>
        <v>0</v>
      </c>
      <c r="E814" s="549">
        <f>'CB40'!$G$158</f>
        <v>0</v>
      </c>
    </row>
    <row r="815" spans="1:6">
      <c r="A815" s="11" t="s">
        <v>693</v>
      </c>
    </row>
    <row r="816" spans="1:6" ht="13.5" customHeight="1">
      <c r="A816" s="11" t="s">
        <v>694</v>
      </c>
      <c r="B816" s="501" t="s">
        <v>688</v>
      </c>
      <c r="C816" s="500" t="s">
        <v>642</v>
      </c>
      <c r="D816" s="501" t="s">
        <v>680</v>
      </c>
      <c r="E816" s="501" t="s">
        <v>681</v>
      </c>
    </row>
    <row r="817" spans="1:5">
      <c r="A817" s="11" t="str">
        <f>$C$1&amp;".e40.412020107"</f>
        <v>Company Code.e40.412020107</v>
      </c>
      <c r="B817" s="549">
        <f>'CB40'!$B$159</f>
        <v>0</v>
      </c>
      <c r="C817" s="549">
        <f>'CB40'!$C$159</f>
        <v>0</v>
      </c>
      <c r="D817" s="549">
        <f>'CB40'!$E$159</f>
        <v>0</v>
      </c>
      <c r="E817" s="549">
        <f>'CB40'!$G$159</f>
        <v>0</v>
      </c>
    </row>
    <row r="818" spans="1:5">
      <c r="A818" s="11" t="str">
        <f>$C$1&amp;".e40.412020108"</f>
        <v>Company Code.e40.412020108</v>
      </c>
      <c r="B818" s="549">
        <f>'CB40'!$B$160</f>
        <v>0</v>
      </c>
      <c r="C818" s="549">
        <f>'CB40'!$C$160</f>
        <v>0</v>
      </c>
      <c r="D818" s="549">
        <f>'CB40'!$E$160</f>
        <v>0</v>
      </c>
      <c r="E818" s="549">
        <f>'CB40'!$G$160</f>
        <v>0</v>
      </c>
    </row>
    <row r="819" spans="1:5">
      <c r="A819" s="11" t="str">
        <f>$C$1&amp;".e40.412020109"</f>
        <v>Company Code.e40.412020109</v>
      </c>
      <c r="B819" s="549">
        <f>'CB40'!$B$161</f>
        <v>0</v>
      </c>
      <c r="C819" s="549">
        <f>'CB40'!$C$161</f>
        <v>0</v>
      </c>
      <c r="D819" s="549">
        <f>'CB40'!$E$161</f>
        <v>0</v>
      </c>
      <c r="E819" s="549">
        <f>'CB40'!$G$161</f>
        <v>0</v>
      </c>
    </row>
    <row r="820" spans="1:5">
      <c r="A820" s="11" t="str">
        <f>$C$1&amp;".e40.412020110"</f>
        <v>Company Code.e40.412020110</v>
      </c>
      <c r="B820" s="549">
        <f>'CB40'!$B$162</f>
        <v>0</v>
      </c>
      <c r="C820" s="549">
        <f>'CB40'!$C$162</f>
        <v>0</v>
      </c>
      <c r="D820" s="549">
        <f>'CB40'!$E$162</f>
        <v>0</v>
      </c>
      <c r="E820" s="549">
        <f>'CB40'!$G$162</f>
        <v>0</v>
      </c>
    </row>
    <row r="821" spans="1:5">
      <c r="A821" s="11" t="str">
        <f>$C$1&amp;".e40.412020111"</f>
        <v>Company Code.e40.412020111</v>
      </c>
      <c r="B821" s="549">
        <f>'CB40'!$B$163</f>
        <v>0</v>
      </c>
      <c r="C821" s="549">
        <f>'CB40'!$C$163</f>
        <v>0</v>
      </c>
      <c r="D821" s="549">
        <f>'CB40'!$E$163</f>
        <v>0</v>
      </c>
      <c r="E821" s="549">
        <f>'CB40'!$G$163</f>
        <v>0</v>
      </c>
    </row>
    <row r="822" spans="1:5">
      <c r="A822" s="11" t="str">
        <f>$C$1&amp;".e40.412020112"</f>
        <v>Company Code.e40.412020112</v>
      </c>
      <c r="B822" s="549">
        <f>'CB40'!$B$164</f>
        <v>0</v>
      </c>
      <c r="C822" s="549">
        <f>'CB40'!$C$164</f>
        <v>0</v>
      </c>
      <c r="D822" s="549">
        <f>'CB40'!$E$164</f>
        <v>0</v>
      </c>
      <c r="E822" s="549">
        <f>'CB40'!$G$164</f>
        <v>0</v>
      </c>
    </row>
    <row r="823" spans="1:5">
      <c r="A823" s="11" t="str">
        <f>$C$1&amp;".e40.412020113"</f>
        <v>Company Code.e40.412020113</v>
      </c>
      <c r="B823" s="549">
        <f>'CB40'!$B$165</f>
        <v>0</v>
      </c>
      <c r="C823" s="549">
        <f>'CB40'!$C$165</f>
        <v>0</v>
      </c>
      <c r="D823" s="549">
        <f>'CB40'!$E$165</f>
        <v>0</v>
      </c>
      <c r="E823" s="549">
        <f>'CB40'!$G$165</f>
        <v>0</v>
      </c>
    </row>
    <row r="824" spans="1:5">
      <c r="A824" s="11" t="str">
        <f>$C$1&amp;".e40.412020114"</f>
        <v>Company Code.e40.412020114</v>
      </c>
      <c r="B824" s="549">
        <f>'CB40'!$B$166</f>
        <v>0</v>
      </c>
      <c r="C824" s="549">
        <f>'CB40'!$C$166</f>
        <v>0</v>
      </c>
      <c r="D824" s="549">
        <f>'CB40'!$E$166</f>
        <v>0</v>
      </c>
      <c r="E824" s="549">
        <f>'CB40'!$G$166</f>
        <v>0</v>
      </c>
    </row>
    <row r="825" spans="1:5">
      <c r="A825" s="11" t="str">
        <f>$C$1&amp;".e40.412020115"</f>
        <v>Company Code.e40.412020115</v>
      </c>
      <c r="B825" s="549">
        <f>'CB40'!$B$167</f>
        <v>0</v>
      </c>
      <c r="C825" s="549">
        <f>'CB40'!$C$167</f>
        <v>0</v>
      </c>
      <c r="D825" s="549">
        <f>'CB40'!$E$167</f>
        <v>0</v>
      </c>
      <c r="E825" s="549">
        <f>'CB40'!$G$167</f>
        <v>0</v>
      </c>
    </row>
    <row r="826" spans="1:5">
      <c r="A826" s="11" t="str">
        <f>C1&amp;".e40.4120201"</f>
        <v>Company Code.e40.4120201</v>
      </c>
      <c r="B826" s="549">
        <f>'CB40'!$B$168</f>
        <v>0</v>
      </c>
      <c r="C826" s="549">
        <f>'CB40'!$C$168</f>
        <v>0</v>
      </c>
      <c r="D826" s="549">
        <f>'CB40'!$E$168</f>
        <v>0</v>
      </c>
      <c r="E826" s="549">
        <f>'CB40'!$G$168</f>
        <v>0</v>
      </c>
    </row>
    <row r="827" spans="1:5">
      <c r="A827" s="11" t="str">
        <f>$C$1&amp;".e40.412020201"</f>
        <v>Company Code.e40.412020201</v>
      </c>
      <c r="B827" s="549">
        <f>'CB40'!$B$171</f>
        <v>0</v>
      </c>
      <c r="C827" s="549">
        <f>'CB40'!$C$171</f>
        <v>0</v>
      </c>
      <c r="D827" s="549">
        <f>'CB40'!$E$171</f>
        <v>0</v>
      </c>
      <c r="E827" s="792">
        <f>'CB40'!$G$171</f>
        <v>0</v>
      </c>
    </row>
    <row r="828" spans="1:5">
      <c r="A828" s="11" t="str">
        <f>$C$1&amp;".e40.412020202"</f>
        <v>Company Code.e40.412020202</v>
      </c>
      <c r="B828" s="549">
        <f>'CB40'!$B$172</f>
        <v>0</v>
      </c>
      <c r="C828" s="549">
        <f>'CB40'!$C$172</f>
        <v>0</v>
      </c>
      <c r="D828" s="549">
        <f>'CB40'!$E$172</f>
        <v>0</v>
      </c>
      <c r="E828" s="792">
        <f>'CB40'!$G$172</f>
        <v>0</v>
      </c>
    </row>
    <row r="829" spans="1:5">
      <c r="A829" s="11" t="str">
        <f>$C$1&amp;".e40.412020203"</f>
        <v>Company Code.e40.412020203</v>
      </c>
      <c r="B829" s="549">
        <f>'CB40'!$B$173</f>
        <v>0</v>
      </c>
      <c r="C829" s="549">
        <f>'CB40'!$C$173</f>
        <v>0</v>
      </c>
      <c r="D829" s="549">
        <f>'CB40'!$E$173</f>
        <v>0</v>
      </c>
      <c r="E829" s="792">
        <f>'CB40'!$G$173</f>
        <v>0</v>
      </c>
    </row>
    <row r="830" spans="1:5">
      <c r="A830" s="11" t="str">
        <f>$C$1&amp;".e40.412020204"</f>
        <v>Company Code.e40.412020204</v>
      </c>
      <c r="B830" s="549">
        <f>'CB40'!$B$174</f>
        <v>0</v>
      </c>
      <c r="C830" s="549">
        <f>'CB40'!$C$174</f>
        <v>0</v>
      </c>
      <c r="D830" s="549">
        <f>'CB40'!$E$174</f>
        <v>0</v>
      </c>
      <c r="E830" s="792">
        <f>'CB40'!$G$174</f>
        <v>0</v>
      </c>
    </row>
    <row r="831" spans="1:5">
      <c r="A831" s="11" t="str">
        <f>$C$1&amp;".e40.412020205"</f>
        <v>Company Code.e40.412020205</v>
      </c>
      <c r="B831" s="549">
        <f>'CB40'!$B$175</f>
        <v>0</v>
      </c>
      <c r="C831" s="549">
        <f>'CB40'!$C$175</f>
        <v>0</v>
      </c>
      <c r="D831" s="549">
        <f>'CB40'!$E$175</f>
        <v>0</v>
      </c>
      <c r="E831" s="792">
        <f>'CB40'!$G$175</f>
        <v>0</v>
      </c>
    </row>
    <row r="832" spans="1:5">
      <c r="A832" s="11" t="str">
        <f>$C$1&amp;".e40.412020206"</f>
        <v>Company Code.e40.412020206</v>
      </c>
      <c r="B832" s="549">
        <f>'CB40'!$B$176</f>
        <v>0</v>
      </c>
      <c r="C832" s="549">
        <f>'CB40'!$C$176</f>
        <v>0</v>
      </c>
      <c r="D832" s="549">
        <f>'CB40'!$E$176</f>
        <v>0</v>
      </c>
      <c r="E832" s="792">
        <f>'CB40'!$G$176</f>
        <v>0</v>
      </c>
    </row>
    <row r="833" spans="1:5">
      <c r="A833" s="11" t="str">
        <f>$C$1&amp;".e40.412020207"</f>
        <v>Company Code.e40.412020207</v>
      </c>
      <c r="B833" s="549">
        <f>'CB40'!$B$177</f>
        <v>0</v>
      </c>
      <c r="C833" s="549">
        <f>'CB40'!$C$177</f>
        <v>0</v>
      </c>
      <c r="D833" s="549">
        <f>'CB40'!$E$177</f>
        <v>0</v>
      </c>
      <c r="E833" s="792">
        <f>'CB40'!$G$177</f>
        <v>0</v>
      </c>
    </row>
    <row r="834" spans="1:5">
      <c r="A834" s="11" t="str">
        <f>C1&amp;".e40.4120202"</f>
        <v>Company Code.e40.4120202</v>
      </c>
      <c r="B834" s="549">
        <f>'CB40'!$B$178</f>
        <v>0</v>
      </c>
      <c r="C834" s="549">
        <f>'CB40'!$C$178</f>
        <v>0</v>
      </c>
      <c r="D834" s="549">
        <f>'CB40'!$E$178</f>
        <v>0</v>
      </c>
      <c r="E834" s="792">
        <f>'CB40'!$G$178</f>
        <v>0</v>
      </c>
    </row>
    <row r="835" spans="1:5">
      <c r="A835" s="11" t="str">
        <f>C1&amp;".e40.41202"</f>
        <v>Company Code.e40.41202</v>
      </c>
      <c r="B835" s="549">
        <f>'CB40'!$B$180</f>
        <v>0</v>
      </c>
      <c r="C835" s="549">
        <f>'CB40'!$C$180</f>
        <v>0</v>
      </c>
      <c r="D835" s="549">
        <f>'CB40'!$E$180</f>
        <v>0</v>
      </c>
      <c r="E835" s="549">
        <f>'CB40'!$G$180</f>
        <v>0</v>
      </c>
    </row>
    <row r="836" spans="1:5">
      <c r="A836" s="11" t="s">
        <v>695</v>
      </c>
      <c r="B836" s="500" t="s">
        <v>642</v>
      </c>
      <c r="C836" s="501" t="s">
        <v>680</v>
      </c>
      <c r="D836" s="501" t="s">
        <v>681</v>
      </c>
    </row>
    <row r="837" spans="1:5">
      <c r="A837" s="11" t="str">
        <f>$C$1&amp;".e40.4130101"</f>
        <v>Company Code.e40.4130101</v>
      </c>
      <c r="B837" s="549">
        <f>'CB40'!$C$186</f>
        <v>0</v>
      </c>
      <c r="C837" s="549">
        <f>'CB40'!$E$186</f>
        <v>0</v>
      </c>
      <c r="D837" s="549">
        <f>'CB40'!$G$186</f>
        <v>0</v>
      </c>
    </row>
    <row r="838" spans="1:5">
      <c r="A838" s="11" t="str">
        <f>$C$1&amp;".e40.4130102"</f>
        <v>Company Code.e40.4130102</v>
      </c>
      <c r="B838" s="549">
        <f>'CB40'!$C$187</f>
        <v>0</v>
      </c>
      <c r="C838" s="549">
        <f>'CB40'!$E$187</f>
        <v>0</v>
      </c>
      <c r="D838" s="549">
        <f>'CB40'!$G$187</f>
        <v>0</v>
      </c>
    </row>
    <row r="839" spans="1:5">
      <c r="A839" s="11" t="str">
        <f>$C$1&amp;".e40.4130103"</f>
        <v>Company Code.e40.4130103</v>
      </c>
      <c r="B839" s="549">
        <f>'CB40'!$C$188</f>
        <v>0</v>
      </c>
      <c r="C839" s="549">
        <f>'CB40'!$E$188</f>
        <v>0</v>
      </c>
      <c r="D839" s="549">
        <f>'CB40'!$G$188</f>
        <v>0</v>
      </c>
    </row>
    <row r="840" spans="1:5">
      <c r="A840" s="11" t="str">
        <f>$C$1&amp;".e40.4130104"</f>
        <v>Company Code.e40.4130104</v>
      </c>
      <c r="B840" s="549">
        <f>'CB40'!$C$189</f>
        <v>0</v>
      </c>
      <c r="C840" s="549">
        <f>'CB40'!$E$189</f>
        <v>0</v>
      </c>
      <c r="D840" s="549">
        <f>'CB40'!$G$189</f>
        <v>0</v>
      </c>
    </row>
    <row r="841" spans="1:5">
      <c r="A841" s="11" t="str">
        <f>$C$1&amp;".e40.4130105"</f>
        <v>Company Code.e40.4130105</v>
      </c>
      <c r="B841" s="549">
        <f>'CB40'!$C$190</f>
        <v>0</v>
      </c>
      <c r="C841" s="549">
        <f>'CB40'!$E$190</f>
        <v>0</v>
      </c>
      <c r="D841" s="549">
        <f>'CB40'!$G$190</f>
        <v>0</v>
      </c>
    </row>
    <row r="842" spans="1:5">
      <c r="A842" s="11" t="str">
        <f>$C$1&amp;".e40.4130106"</f>
        <v>Company Code.e40.4130106</v>
      </c>
      <c r="B842" s="549">
        <f>'CB40'!$C$191</f>
        <v>0</v>
      </c>
      <c r="C842" s="549">
        <f>'CB40'!$E$191</f>
        <v>0</v>
      </c>
      <c r="D842" s="549">
        <f>'CB40'!$G$191</f>
        <v>0</v>
      </c>
    </row>
    <row r="843" spans="1:5">
      <c r="A843" s="11" t="s">
        <v>696</v>
      </c>
    </row>
    <row r="844" spans="1:5">
      <c r="A844" s="11" t="s">
        <v>697</v>
      </c>
      <c r="B844" s="500" t="s">
        <v>642</v>
      </c>
      <c r="C844" s="501" t="s">
        <v>680</v>
      </c>
      <c r="D844" s="501" t="s">
        <v>681</v>
      </c>
    </row>
    <row r="845" spans="1:5">
      <c r="A845" s="11" t="str">
        <f>$C$1&amp;".e40.4130107"</f>
        <v>Company Code.e40.4130107</v>
      </c>
      <c r="B845" s="549">
        <f>'CB40'!$C$192</f>
        <v>0</v>
      </c>
      <c r="C845" s="549">
        <f>'CB40'!$E$192</f>
        <v>0</v>
      </c>
      <c r="D845" s="549">
        <f>'CB40'!$G$192</f>
        <v>0</v>
      </c>
      <c r="E845" s="549"/>
    </row>
    <row r="846" spans="1:5">
      <c r="A846" s="11" t="str">
        <f>$C$1&amp;".e40.4130108"</f>
        <v>Company Code.e40.4130108</v>
      </c>
      <c r="B846" s="549">
        <f>'CB40'!$C$193</f>
        <v>0</v>
      </c>
      <c r="C846" s="549">
        <f>'CB40'!$E$193</f>
        <v>0</v>
      </c>
      <c r="D846" s="549">
        <f>'CB40'!$G$193</f>
        <v>0</v>
      </c>
      <c r="E846" s="549"/>
    </row>
    <row r="847" spans="1:5">
      <c r="A847" s="11" t="str">
        <f>$C$1&amp;".e40.4130109"</f>
        <v>Company Code.e40.4130109</v>
      </c>
      <c r="B847" s="549">
        <f>'CB40'!$C$194</f>
        <v>0</v>
      </c>
      <c r="C847" s="549">
        <f>'CB40'!$E$194</f>
        <v>0</v>
      </c>
      <c r="D847" s="549">
        <f>'CB40'!$G$194</f>
        <v>0</v>
      </c>
      <c r="E847" s="549"/>
    </row>
    <row r="848" spans="1:5">
      <c r="A848" s="11" t="str">
        <f>$C$1&amp;".e40.4130110"</f>
        <v>Company Code.e40.4130110</v>
      </c>
      <c r="B848" s="549">
        <f>'CB40'!$C$195</f>
        <v>0</v>
      </c>
      <c r="C848" s="549">
        <f>'CB40'!$E$195</f>
        <v>0</v>
      </c>
      <c r="D848" s="549">
        <f>'CB40'!$G$195</f>
        <v>0</v>
      </c>
      <c r="E848" s="549"/>
    </row>
    <row r="849" spans="1:5">
      <c r="A849" s="11" t="str">
        <f>$C$1&amp;".e40.4130111"</f>
        <v>Company Code.e40.4130111</v>
      </c>
      <c r="B849" s="549">
        <f>'CB40'!$C$196</f>
        <v>0</v>
      </c>
      <c r="C849" s="549">
        <f>'CB40'!$E$196</f>
        <v>0</v>
      </c>
      <c r="D849" s="549">
        <f>'CB40'!$G$196</f>
        <v>0</v>
      </c>
      <c r="E849" s="549"/>
    </row>
    <row r="850" spans="1:5">
      <c r="A850" s="11" t="str">
        <f>$C$1&amp;".e40.4130112"</f>
        <v>Company Code.e40.4130112</v>
      </c>
      <c r="B850" s="549">
        <f>'CB40'!$C$197</f>
        <v>0</v>
      </c>
      <c r="C850" s="549">
        <f>'CB40'!$E$197</f>
        <v>0</v>
      </c>
      <c r="D850" s="549">
        <f>'CB40'!$G$197</f>
        <v>0</v>
      </c>
      <c r="E850" s="549"/>
    </row>
    <row r="851" spans="1:5">
      <c r="A851" s="11" t="str">
        <f>$C$1&amp;".e40.4130113"</f>
        <v>Company Code.e40.4130113</v>
      </c>
      <c r="B851" s="549">
        <f>'CB40'!$C$198</f>
        <v>0</v>
      </c>
      <c r="C851" s="549">
        <f>'CB40'!$E$198</f>
        <v>0</v>
      </c>
      <c r="D851" s="549">
        <f>'CB40'!$G$198</f>
        <v>0</v>
      </c>
      <c r="E851" s="549"/>
    </row>
    <row r="852" spans="1:5">
      <c r="A852" s="11" t="str">
        <f>$C$1&amp;".e40.4130114"</f>
        <v>Company Code.e40.4130114</v>
      </c>
      <c r="B852" s="549">
        <f>'CB40'!$C$199</f>
        <v>0</v>
      </c>
      <c r="C852" s="549">
        <f>'CB40'!$E$199</f>
        <v>0</v>
      </c>
      <c r="D852" s="549">
        <f>'CB40'!$G$199</f>
        <v>0</v>
      </c>
      <c r="E852" s="549"/>
    </row>
    <row r="853" spans="1:5">
      <c r="A853" s="11" t="str">
        <f>$C$1&amp;".e40.4130115"</f>
        <v>Company Code.e40.4130115</v>
      </c>
      <c r="B853" s="549">
        <f>'CB40'!$C$200</f>
        <v>0</v>
      </c>
      <c r="C853" s="549">
        <f>'CB40'!$E$200</f>
        <v>0</v>
      </c>
      <c r="D853" s="549">
        <f>'CB40'!$G$200</f>
        <v>0</v>
      </c>
      <c r="E853" s="549"/>
    </row>
    <row r="854" spans="1:5">
      <c r="A854" s="11" t="str">
        <f>C1&amp;".e40.41301"</f>
        <v>Company Code.e40.41301</v>
      </c>
      <c r="B854" s="549">
        <f>'CB40'!$C$201</f>
        <v>0</v>
      </c>
      <c r="C854" s="549">
        <f>'CB40'!$E$201</f>
        <v>0</v>
      </c>
      <c r="D854" s="549">
        <f>'CB40'!$G$201</f>
        <v>0</v>
      </c>
    </row>
    <row r="855" spans="1:5">
      <c r="A855" s="11" t="str">
        <f>$C$1&amp;".e40.4130201"</f>
        <v>Company Code.e40.4130201</v>
      </c>
      <c r="B855" s="549">
        <f>'CB40'!$C$204</f>
        <v>0</v>
      </c>
      <c r="C855" s="549">
        <f>'CB40'!$E$204</f>
        <v>0</v>
      </c>
      <c r="D855" s="792">
        <f>'CB40'!$G$204</f>
        <v>0</v>
      </c>
    </row>
    <row r="856" spans="1:5">
      <c r="A856" s="11" t="str">
        <f>$C$1&amp;".e40.4130202"</f>
        <v>Company Code.e40.4130202</v>
      </c>
      <c r="B856" s="549">
        <f>'CB40'!$C$205</f>
        <v>0</v>
      </c>
      <c r="C856" s="549">
        <f>'CB40'!$E$205</f>
        <v>0</v>
      </c>
      <c r="D856" s="792">
        <f>'CB40'!$G$205</f>
        <v>0</v>
      </c>
    </row>
    <row r="857" spans="1:5">
      <c r="A857" s="11" t="str">
        <f>$C$1&amp;".e40.4130203"</f>
        <v>Company Code.e40.4130203</v>
      </c>
      <c r="B857" s="549">
        <f>'CB40'!$C$206</f>
        <v>0</v>
      </c>
      <c r="C857" s="549">
        <f>'CB40'!$E$206</f>
        <v>0</v>
      </c>
      <c r="D857" s="792">
        <f>'CB40'!$G$206</f>
        <v>0</v>
      </c>
    </row>
    <row r="858" spans="1:5">
      <c r="A858" s="11" t="str">
        <f>$C$1&amp;".e40.4130204"</f>
        <v>Company Code.e40.4130204</v>
      </c>
      <c r="B858" s="549">
        <f>'CB40'!$C$207</f>
        <v>0</v>
      </c>
      <c r="C858" s="549">
        <f>'CB40'!$E$207</f>
        <v>0</v>
      </c>
      <c r="D858" s="792">
        <f>'CB40'!$G$207</f>
        <v>0</v>
      </c>
    </row>
    <row r="859" spans="1:5">
      <c r="A859" s="11" t="str">
        <f>$C$1&amp;".e40.4130205"</f>
        <v>Company Code.e40.4130205</v>
      </c>
      <c r="B859" s="549">
        <f>'CB40'!$C$208</f>
        <v>0</v>
      </c>
      <c r="C859" s="549">
        <f>'CB40'!$E$208</f>
        <v>0</v>
      </c>
      <c r="D859" s="792">
        <f>'CB40'!$G$208</f>
        <v>0</v>
      </c>
    </row>
    <row r="860" spans="1:5">
      <c r="A860" s="11" t="str">
        <f>$C$1&amp;".e40.4130206"</f>
        <v>Company Code.e40.4130206</v>
      </c>
      <c r="B860" s="549">
        <f>'CB40'!$C$209</f>
        <v>0</v>
      </c>
      <c r="C860" s="549">
        <f>'CB40'!$E$209</f>
        <v>0</v>
      </c>
      <c r="D860" s="792">
        <f>'CB40'!$G$209</f>
        <v>0</v>
      </c>
    </row>
    <row r="861" spans="1:5">
      <c r="A861" s="11" t="str">
        <f>$C$1&amp;".e40.4130207"</f>
        <v>Company Code.e40.4130207</v>
      </c>
      <c r="B861" s="549">
        <f>'CB40'!$C$210</f>
        <v>0</v>
      </c>
      <c r="C861" s="549">
        <f>'CB40'!$E$210</f>
        <v>0</v>
      </c>
      <c r="D861" s="792">
        <f>'CB40'!$G$210</f>
        <v>0</v>
      </c>
    </row>
    <row r="862" spans="1:5">
      <c r="A862" s="11" t="str">
        <f>C1&amp;".e40.41302"</f>
        <v>Company Code.e40.41302</v>
      </c>
      <c r="B862" s="549">
        <f>'CB40'!$C$211</f>
        <v>0</v>
      </c>
      <c r="C862" s="549">
        <f>'CB40'!$E$211</f>
        <v>0</v>
      </c>
      <c r="D862" s="792">
        <f>'CB40'!$G$211</f>
        <v>0</v>
      </c>
    </row>
    <row r="863" spans="1:5">
      <c r="A863" s="11" t="str">
        <f>C1&amp;".e40.413"</f>
        <v>Company Code.e40.413</v>
      </c>
      <c r="B863" s="549">
        <f>'CB40'!$C$213</f>
        <v>0</v>
      </c>
      <c r="C863" s="549">
        <f>'CB40'!$E$213</f>
        <v>0</v>
      </c>
      <c r="D863" s="792">
        <f>'CB40'!$G$213</f>
        <v>0</v>
      </c>
    </row>
    <row r="864" spans="1:5">
      <c r="A864" s="11" t="str">
        <f>$C$1&amp;".e40.4140101"</f>
        <v>Company Code.e40.4140101</v>
      </c>
      <c r="B864" s="549">
        <f>'CB40'!$C$219</f>
        <v>0</v>
      </c>
      <c r="C864" s="549">
        <f>'CB40'!$E$219</f>
        <v>0</v>
      </c>
      <c r="D864" s="792">
        <f>'CB40'!$G$219</f>
        <v>0</v>
      </c>
    </row>
    <row r="865" spans="1:5">
      <c r="A865" s="11" t="str">
        <f>$C$1&amp;".e40.4140102"</f>
        <v>Company Code.e40.4140102</v>
      </c>
      <c r="B865" s="549">
        <f>'CB40'!$C$220</f>
        <v>0</v>
      </c>
      <c r="C865" s="549">
        <f>'CB40'!$E$220</f>
        <v>0</v>
      </c>
      <c r="D865" s="792">
        <f>'CB40'!$G$220</f>
        <v>0</v>
      </c>
    </row>
    <row r="866" spans="1:5">
      <c r="A866" s="11" t="str">
        <f>$C$1&amp;".e40.4140103"</f>
        <v>Company Code.e40.4140103</v>
      </c>
      <c r="B866" s="549">
        <f>'CB40'!$C$221</f>
        <v>0</v>
      </c>
      <c r="C866" s="549">
        <f>'CB40'!$E$221</f>
        <v>0</v>
      </c>
      <c r="D866" s="792">
        <f>'CB40'!$G$221</f>
        <v>0</v>
      </c>
    </row>
    <row r="867" spans="1:5">
      <c r="A867" s="11" t="str">
        <f>$C$1&amp;".e40.4140104"</f>
        <v>Company Code.e40.4140104</v>
      </c>
      <c r="B867" s="549">
        <f>'CB40'!$C$222</f>
        <v>0</v>
      </c>
      <c r="C867" s="549">
        <f>'CB40'!$E$222</f>
        <v>0</v>
      </c>
      <c r="D867" s="792">
        <f>'CB40'!$G$222</f>
        <v>0</v>
      </c>
    </row>
    <row r="868" spans="1:5">
      <c r="A868" s="11" t="str">
        <f>$C$1&amp;".e40.4140105"</f>
        <v>Company Code.e40.4140105</v>
      </c>
      <c r="B868" s="549">
        <f>'CB40'!$C$223</f>
        <v>0</v>
      </c>
      <c r="C868" s="549">
        <f>'CB40'!$E$223</f>
        <v>0</v>
      </c>
      <c r="D868" s="792">
        <f>'CB40'!$G$223</f>
        <v>0</v>
      </c>
    </row>
    <row r="869" spans="1:5">
      <c r="A869" s="11" t="str">
        <f>$C$1&amp;".e40.4140106"</f>
        <v>Company Code.e40.4140106</v>
      </c>
      <c r="B869" s="549">
        <f>'CB40'!$C$224</f>
        <v>0</v>
      </c>
      <c r="C869" s="549">
        <f>'CB40'!$E$224</f>
        <v>0</v>
      </c>
      <c r="D869" s="792">
        <f>'CB40'!$G$224</f>
        <v>0</v>
      </c>
    </row>
    <row r="870" spans="1:5">
      <c r="A870" s="11" t="s">
        <v>698</v>
      </c>
    </row>
    <row r="871" spans="1:5">
      <c r="A871" s="11" t="s">
        <v>699</v>
      </c>
      <c r="B871" s="500" t="s">
        <v>642</v>
      </c>
      <c r="C871" s="501" t="s">
        <v>680</v>
      </c>
      <c r="D871" s="501" t="s">
        <v>681</v>
      </c>
    </row>
    <row r="872" spans="1:5">
      <c r="A872" s="11" t="str">
        <f>$C$1&amp;".e40.4140107"</f>
        <v>Company Code.e40.4140107</v>
      </c>
      <c r="B872" s="549">
        <f>'CB40'!$C$225</f>
        <v>0</v>
      </c>
      <c r="C872" s="549">
        <f>'CB40'!$E$225</f>
        <v>0</v>
      </c>
      <c r="D872" s="549">
        <f>'CB40'!$G$225</f>
        <v>0</v>
      </c>
      <c r="E872" s="549"/>
    </row>
    <row r="873" spans="1:5">
      <c r="A873" s="11" t="str">
        <f>$C$1&amp;".e40.4140108"</f>
        <v>Company Code.e40.4140108</v>
      </c>
      <c r="B873" s="549">
        <f>'CB40'!$C$226</f>
        <v>0</v>
      </c>
      <c r="C873" s="549">
        <f>'CB40'!$E$226</f>
        <v>0</v>
      </c>
      <c r="D873" s="549">
        <f>'CB40'!$G$226</f>
        <v>0</v>
      </c>
      <c r="E873" s="549"/>
    </row>
    <row r="874" spans="1:5">
      <c r="A874" s="11" t="str">
        <f>$C$1&amp;".e40.4140109"</f>
        <v>Company Code.e40.4140109</v>
      </c>
      <c r="B874" s="549">
        <f>'CB40'!$C$227</f>
        <v>0</v>
      </c>
      <c r="C874" s="549">
        <f>'CB40'!$E$227</f>
        <v>0</v>
      </c>
      <c r="D874" s="549">
        <f>'CB40'!$G$227</f>
        <v>0</v>
      </c>
      <c r="E874" s="549"/>
    </row>
    <row r="875" spans="1:5">
      <c r="A875" s="11" t="str">
        <f>$C$1&amp;".e40.4140110"</f>
        <v>Company Code.e40.4140110</v>
      </c>
      <c r="B875" s="549">
        <f>'CB40'!$C$228</f>
        <v>0</v>
      </c>
      <c r="C875" s="549">
        <f>'CB40'!$E$228</f>
        <v>0</v>
      </c>
      <c r="D875" s="549">
        <f>'CB40'!$G$228</f>
        <v>0</v>
      </c>
      <c r="E875" s="549"/>
    </row>
    <row r="876" spans="1:5">
      <c r="A876" s="11" t="str">
        <f>$C$1&amp;".e40.4140111"</f>
        <v>Company Code.e40.4140111</v>
      </c>
      <c r="B876" s="549">
        <f>'CB40'!$C$229</f>
        <v>0</v>
      </c>
      <c r="C876" s="549">
        <f>'CB40'!$E$229</f>
        <v>0</v>
      </c>
      <c r="D876" s="549">
        <f>'CB40'!$G$229</f>
        <v>0</v>
      </c>
      <c r="E876" s="549"/>
    </row>
    <row r="877" spans="1:5">
      <c r="A877" s="11" t="str">
        <f>$C$1&amp;".e40.4140112"</f>
        <v>Company Code.e40.4140112</v>
      </c>
      <c r="B877" s="549">
        <f>'CB40'!$C$230</f>
        <v>0</v>
      </c>
      <c r="C877" s="549">
        <f>'CB40'!$E$230</f>
        <v>0</v>
      </c>
      <c r="D877" s="549">
        <f>'CB40'!$G$230</f>
        <v>0</v>
      </c>
      <c r="E877" s="549"/>
    </row>
    <row r="878" spans="1:5">
      <c r="A878" s="11" t="str">
        <f>$C$1&amp;".e40.4140113"</f>
        <v>Company Code.e40.4140113</v>
      </c>
      <c r="B878" s="549">
        <f>'CB40'!$C$231</f>
        <v>0</v>
      </c>
      <c r="C878" s="549">
        <f>'CB40'!$E$231</f>
        <v>0</v>
      </c>
      <c r="D878" s="549">
        <f>'CB40'!$G$231</f>
        <v>0</v>
      </c>
      <c r="E878" s="549"/>
    </row>
    <row r="879" spans="1:5">
      <c r="A879" s="11" t="str">
        <f>$C$1&amp;".e40.4140114"</f>
        <v>Company Code.e40.4140114</v>
      </c>
      <c r="B879" s="549">
        <f>'CB40'!$C$232</f>
        <v>0</v>
      </c>
      <c r="C879" s="549">
        <f>'CB40'!$E$232</f>
        <v>0</v>
      </c>
      <c r="D879" s="549">
        <f>'CB40'!$G$232</f>
        <v>0</v>
      </c>
      <c r="E879" s="549"/>
    </row>
    <row r="880" spans="1:5">
      <c r="A880" s="11" t="str">
        <f>$C$1&amp;".e40.4140115"</f>
        <v>Company Code.e40.4140115</v>
      </c>
      <c r="B880" s="549">
        <f>'CB40'!$C$233</f>
        <v>0</v>
      </c>
      <c r="C880" s="549">
        <f>'CB40'!$E$233</f>
        <v>0</v>
      </c>
      <c r="D880" s="549">
        <f>'CB40'!$G$233</f>
        <v>0</v>
      </c>
      <c r="E880" s="549"/>
    </row>
    <row r="881" spans="1:4">
      <c r="A881" s="11" t="str">
        <f>C1&amp;".e40.41401"</f>
        <v>Company Code.e40.41401</v>
      </c>
      <c r="B881" s="549">
        <f>'CB40'!$C$234</f>
        <v>0</v>
      </c>
      <c r="C881" s="549">
        <f>'CB40'!$E$234</f>
        <v>0</v>
      </c>
      <c r="D881" s="549">
        <f>'CB40'!$G$234</f>
        <v>0</v>
      </c>
    </row>
    <row r="882" spans="1:4">
      <c r="A882" s="11" t="str">
        <f>$C$1&amp;".e40.4140201"</f>
        <v>Company Code.e40.4140201</v>
      </c>
      <c r="B882" s="549">
        <f>'CB40'!$C$237</f>
        <v>0</v>
      </c>
      <c r="C882" s="549">
        <f>'CB40'!$E$237</f>
        <v>0</v>
      </c>
      <c r="D882" s="549">
        <f>'CB40'!$G$237</f>
        <v>0</v>
      </c>
    </row>
    <row r="883" spans="1:4">
      <c r="A883" s="11" t="str">
        <f>$C$1&amp;".e40.4140202"</f>
        <v>Company Code.e40.4140202</v>
      </c>
      <c r="B883" s="549">
        <f>'CB40'!$C$238</f>
        <v>0</v>
      </c>
      <c r="C883" s="549">
        <f>'CB40'!$E$238</f>
        <v>0</v>
      </c>
      <c r="D883" s="549">
        <f>'CB40'!$G$238</f>
        <v>0</v>
      </c>
    </row>
    <row r="884" spans="1:4">
      <c r="A884" s="11" t="str">
        <f>$C$1&amp;".e40.4140203"</f>
        <v>Company Code.e40.4140203</v>
      </c>
      <c r="B884" s="549">
        <f>'CB40'!$C$239</f>
        <v>0</v>
      </c>
      <c r="C884" s="549">
        <f>'CB40'!$E$239</f>
        <v>0</v>
      </c>
      <c r="D884" s="549">
        <f>'CB40'!$G$239</f>
        <v>0</v>
      </c>
    </row>
    <row r="885" spans="1:4">
      <c r="A885" s="11" t="str">
        <f>$C$1&amp;".e40.4140204"</f>
        <v>Company Code.e40.4140204</v>
      </c>
      <c r="B885" s="549">
        <f>'CB40'!$C$240</f>
        <v>0</v>
      </c>
      <c r="C885" s="549">
        <f>'CB40'!$E$240</f>
        <v>0</v>
      </c>
      <c r="D885" s="549">
        <f>'CB40'!$G$240</f>
        <v>0</v>
      </c>
    </row>
    <row r="886" spans="1:4">
      <c r="A886" s="11" t="str">
        <f>$C$1&amp;".e40.4140205"</f>
        <v>Company Code.e40.4140205</v>
      </c>
      <c r="B886" s="549">
        <f>'CB40'!$C$241</f>
        <v>0</v>
      </c>
      <c r="C886" s="549">
        <f>'CB40'!$E$241</f>
        <v>0</v>
      </c>
      <c r="D886" s="549">
        <f>'CB40'!$G$241</f>
        <v>0</v>
      </c>
    </row>
    <row r="887" spans="1:4">
      <c r="A887" s="11" t="str">
        <f>$C$1&amp;".e40.4140206"</f>
        <v>Company Code.e40.4140206</v>
      </c>
      <c r="B887" s="549">
        <f>'CB40'!$C$242</f>
        <v>0</v>
      </c>
      <c r="C887" s="549">
        <f>'CB40'!$E$242</f>
        <v>0</v>
      </c>
      <c r="D887" s="549">
        <f>'CB40'!$G$242</f>
        <v>0</v>
      </c>
    </row>
    <row r="888" spans="1:4">
      <c r="A888" s="11" t="str">
        <f>$C$1&amp;".e40.4140207"</f>
        <v>Company Code.e40.4140207</v>
      </c>
      <c r="B888" s="549">
        <f>'CB40'!$C$243</f>
        <v>0</v>
      </c>
      <c r="C888" s="549">
        <f>'CB40'!$E$243</f>
        <v>0</v>
      </c>
      <c r="D888" s="549">
        <f>'CB40'!$G$243</f>
        <v>0</v>
      </c>
    </row>
    <row r="889" spans="1:4">
      <c r="A889" s="11" t="str">
        <f>C1&amp;".e40.41402"</f>
        <v>Company Code.e40.41402</v>
      </c>
      <c r="B889" s="549">
        <f>'CB40'!$C$244</f>
        <v>0</v>
      </c>
      <c r="C889" s="549">
        <f>'CB40'!$E$244</f>
        <v>0</v>
      </c>
      <c r="D889" s="549">
        <f>'CB40'!$G$244</f>
        <v>0</v>
      </c>
    </row>
    <row r="890" spans="1:4">
      <c r="A890" s="11" t="str">
        <f>C1&amp;".e40.414"</f>
        <v>Company Code.e40.414</v>
      </c>
      <c r="B890" s="549">
        <f>'CB40'!$C$246</f>
        <v>0</v>
      </c>
      <c r="C890" s="549">
        <f>'CB40'!$E$246</f>
        <v>0</v>
      </c>
      <c r="D890" s="549">
        <f>'CB40'!$G$246</f>
        <v>0</v>
      </c>
    </row>
    <row r="891" spans="1:4">
      <c r="A891" s="11" t="str">
        <f>C1&amp;".e40.50106"</f>
        <v>Company Code.e40.50106</v>
      </c>
      <c r="B891" s="549">
        <f>'CB40'!$C$250</f>
        <v>0</v>
      </c>
      <c r="C891" s="549">
        <f>'CB40'!$E$250</f>
        <v>0</v>
      </c>
      <c r="D891" s="549">
        <f>'CB40'!$G$250</f>
        <v>0</v>
      </c>
    </row>
    <row r="892" spans="1:4">
      <c r="A892" s="11" t="str">
        <f>C1&amp;".e40.50107"</f>
        <v>Company Code.e40.50107</v>
      </c>
      <c r="B892" s="549">
        <f>'CB40'!$C$251</f>
        <v>0</v>
      </c>
      <c r="C892" s="549">
        <f>'CB40'!$E$251</f>
        <v>0</v>
      </c>
      <c r="D892" s="549">
        <f>'CB40'!$G$251</f>
        <v>0</v>
      </c>
    </row>
    <row r="893" spans="1:4">
      <c r="A893" s="11" t="str">
        <f>C1&amp;".e40.50108"</f>
        <v>Company Code.e40.50108</v>
      </c>
      <c r="B893" s="549">
        <f>'CB40'!$C$252</f>
        <v>0</v>
      </c>
      <c r="C893" s="549">
        <f>'CB40'!$E$252</f>
        <v>0</v>
      </c>
      <c r="D893" s="549">
        <f>'CB40'!$G$252</f>
        <v>0</v>
      </c>
    </row>
    <row r="894" spans="1:4">
      <c r="A894" s="11" t="str">
        <f>C1&amp;".e40.50110"</f>
        <v>Company Code.e40.50110</v>
      </c>
      <c r="B894" s="549">
        <f>'CB40'!$C$253</f>
        <v>0</v>
      </c>
      <c r="C894" s="549">
        <f>'CB40'!$E$253</f>
        <v>0</v>
      </c>
      <c r="D894" s="549">
        <f>'CB40'!$G$253</f>
        <v>0</v>
      </c>
    </row>
    <row r="895" spans="1:4">
      <c r="A895" s="11" t="str">
        <f>C1&amp;".e40.50111"</f>
        <v>Company Code.e40.50111</v>
      </c>
      <c r="B895" s="549">
        <f>'CB40'!$C$254</f>
        <v>0</v>
      </c>
      <c r="C895" s="549">
        <f>'CB40'!$E$254</f>
        <v>0</v>
      </c>
      <c r="D895" s="549">
        <f>'CB40'!$G$254</f>
        <v>0</v>
      </c>
    </row>
    <row r="896" spans="1:4">
      <c r="A896" s="11" t="str">
        <f>C1&amp;".e40.50112"</f>
        <v>Company Code.e40.50112</v>
      </c>
      <c r="B896" s="549">
        <f>'CB40'!$C$255</f>
        <v>0</v>
      </c>
      <c r="C896" s="549">
        <f>'CB40'!$E$255</f>
        <v>0</v>
      </c>
      <c r="D896" s="549">
        <f>'CB40'!$G$255</f>
        <v>0</v>
      </c>
    </row>
    <row r="897" spans="1:4">
      <c r="A897" s="11" t="str">
        <f>C1&amp;".e40.50113"</f>
        <v>Company Code.e40.50113</v>
      </c>
      <c r="B897" s="549">
        <f>'CB40'!$C$256</f>
        <v>0</v>
      </c>
      <c r="C897" s="549">
        <f>'CB40'!$E$256</f>
        <v>0</v>
      </c>
      <c r="D897" s="549">
        <f>'CB40'!$G$256</f>
        <v>0</v>
      </c>
    </row>
    <row r="898" spans="1:4">
      <c r="A898" s="11" t="str">
        <f>C1&amp;".e40.5011301"</f>
        <v>Company Code.e40.5011301</v>
      </c>
      <c r="B898" s="549">
        <f>'CB40'!$C$257</f>
        <v>0</v>
      </c>
      <c r="C898" s="549">
        <f>'CB40'!$E$257</f>
        <v>0</v>
      </c>
      <c r="D898" s="549">
        <f>'CB40'!$G$257</f>
        <v>0</v>
      </c>
    </row>
    <row r="899" spans="1:4">
      <c r="A899" s="11" t="str">
        <f>C1&amp;".e40.5011302"</f>
        <v>Company Code.e40.5011302</v>
      </c>
      <c r="B899" s="549">
        <f>'CB40'!$C$258</f>
        <v>0</v>
      </c>
      <c r="C899" s="549">
        <f>'CB40'!$E$258</f>
        <v>0</v>
      </c>
      <c r="D899" s="549">
        <f>'CB40'!$G$258</f>
        <v>0</v>
      </c>
    </row>
    <row r="900" spans="1:4">
      <c r="A900" s="11" t="str">
        <f>C1&amp;".e40.50109"</f>
        <v>Company Code.e40.50109</v>
      </c>
      <c r="B900" s="549">
        <f>'CB40'!$C$259</f>
        <v>0</v>
      </c>
      <c r="C900" s="549">
        <f>'CB40'!$E$259</f>
        <v>0</v>
      </c>
      <c r="D900" s="549">
        <f>'CB40'!$G$259</f>
        <v>0</v>
      </c>
    </row>
    <row r="901" spans="1:4">
      <c r="A901" s="11" t="str">
        <f>C1&amp;".e40.501"</f>
        <v>Company Code.e40.501</v>
      </c>
      <c r="B901" s="549">
        <f>'CB40'!$C$260</f>
        <v>0</v>
      </c>
      <c r="C901" s="549">
        <f>'CB40'!$E$260</f>
        <v>0</v>
      </c>
      <c r="D901" s="549">
        <f>'CB40'!$G$260</f>
        <v>0</v>
      </c>
    </row>
    <row r="902" spans="1:4">
      <c r="A902" s="11" t="str">
        <f>C1&amp;".e40.50601"</f>
        <v>Company Code.e40.50601</v>
      </c>
      <c r="B902" s="549">
        <f>'CB40'!$C$265</f>
        <v>0</v>
      </c>
      <c r="C902" s="549">
        <f>'CB40'!$E$265</f>
        <v>0</v>
      </c>
      <c r="D902" s="549">
        <f>'CB40'!$G$265</f>
        <v>0</v>
      </c>
    </row>
    <row r="903" spans="1:4">
      <c r="A903" s="11" t="str">
        <f>C1&amp;".e40.50602"</f>
        <v>Company Code.e40.50602</v>
      </c>
      <c r="B903" s="549">
        <f>'CB40'!$C$266</f>
        <v>0</v>
      </c>
      <c r="C903" s="549">
        <f>'CB40'!$E$266</f>
        <v>0</v>
      </c>
      <c r="D903" s="549">
        <f>'CB40'!$G$266</f>
        <v>0</v>
      </c>
    </row>
    <row r="904" spans="1:4">
      <c r="A904" s="11" t="str">
        <f>C1&amp;".e40.5060202"</f>
        <v>Company Code.e40.5060202</v>
      </c>
      <c r="B904" s="549">
        <f>'CB40'!$C$267</f>
        <v>0</v>
      </c>
      <c r="C904" s="549">
        <f>'CB40'!$E$267</f>
        <v>0</v>
      </c>
      <c r="D904" s="549">
        <f>'CB40'!$G$267</f>
        <v>0</v>
      </c>
    </row>
    <row r="905" spans="1:4">
      <c r="A905" s="11" t="str">
        <f>C1&amp;".e40.5060203"</f>
        <v>Company Code.e40.5060203</v>
      </c>
      <c r="B905" s="549">
        <f>'CB40'!$C$268</f>
        <v>0</v>
      </c>
      <c r="C905" s="549">
        <f>'CB40'!$E$268</f>
        <v>0</v>
      </c>
      <c r="D905" s="549">
        <f>'CB40'!$G$268</f>
        <v>0</v>
      </c>
    </row>
    <row r="906" spans="1:4">
      <c r="A906" s="11" t="str">
        <f>C1&amp;".e40.5060204"</f>
        <v>Company Code.e40.5060204</v>
      </c>
      <c r="B906" s="549">
        <f>'CB40'!$C$269</f>
        <v>0</v>
      </c>
      <c r="C906" s="549">
        <f>'CB40'!$E$269</f>
        <v>0</v>
      </c>
      <c r="D906" s="549">
        <f>'CB40'!$G$269</f>
        <v>0</v>
      </c>
    </row>
    <row r="907" spans="1:4">
      <c r="A907" s="11" t="str">
        <f>C1&amp;".e40.5060205"</f>
        <v>Company Code.e40.5060205</v>
      </c>
      <c r="B907" s="549">
        <f>'CB40'!$C$270</f>
        <v>0</v>
      </c>
      <c r="C907" s="549">
        <f>'CB40'!$E$270</f>
        <v>0</v>
      </c>
      <c r="D907" s="549">
        <f>'CB40'!$G$270</f>
        <v>0</v>
      </c>
    </row>
    <row r="908" spans="1:4">
      <c r="A908" s="11" t="str">
        <f>C1&amp;".e40.5060206"</f>
        <v>Company Code.e40.5060206</v>
      </c>
      <c r="B908" s="549">
        <f>'CB40'!$C$271</f>
        <v>0</v>
      </c>
      <c r="C908" s="549">
        <f>'CB40'!$E$271</f>
        <v>0</v>
      </c>
      <c r="D908" s="549">
        <f>'CB40'!$G$271</f>
        <v>0</v>
      </c>
    </row>
    <row r="909" spans="1:4">
      <c r="A909" s="11" t="str">
        <f>C1&amp;".e40.50603"</f>
        <v>Company Code.e40.50603</v>
      </c>
      <c r="B909" s="549">
        <f>'CB40'!$C$272</f>
        <v>0</v>
      </c>
      <c r="C909" s="549">
        <f>'CB40'!$E$272</f>
        <v>0</v>
      </c>
      <c r="D909" s="549">
        <f>'CB40'!$G$272</f>
        <v>0</v>
      </c>
    </row>
    <row r="910" spans="1:4">
      <c r="A910" s="11" t="str">
        <f>C1&amp;".e40.506"</f>
        <v>Company Code.e40.506</v>
      </c>
      <c r="B910" s="549">
        <f>'CB40'!$C$273</f>
        <v>0</v>
      </c>
      <c r="C910" s="549">
        <f>'CB40'!$E$273</f>
        <v>0</v>
      </c>
      <c r="D910" s="549">
        <f>'CB40'!$G$273</f>
        <v>0</v>
      </c>
    </row>
    <row r="911" spans="1:4">
      <c r="A911" s="11" t="str">
        <f>C1&amp;".e40.50801"</f>
        <v>Company Code.e40.50801</v>
      </c>
      <c r="B911" s="549">
        <f>'CB40'!$C$278</f>
        <v>0</v>
      </c>
      <c r="C911" s="549">
        <f>'CB40'!$E$278</f>
        <v>0</v>
      </c>
      <c r="D911" s="549">
        <f>'CB40'!$G$278</f>
        <v>0</v>
      </c>
    </row>
    <row r="912" spans="1:4">
      <c r="A912" s="11" t="str">
        <f>C1&amp;".e40.5080101"</f>
        <v>Company Code.e40.5080101</v>
      </c>
      <c r="B912" s="549">
        <f>'CB40'!$C$279</f>
        <v>0</v>
      </c>
      <c r="C912" s="549">
        <f>'CB40'!$E$279</f>
        <v>0</v>
      </c>
      <c r="D912" s="549">
        <f>'CB40'!$G$279</f>
        <v>0</v>
      </c>
    </row>
    <row r="913" spans="1:4">
      <c r="A913" s="11" t="str">
        <f>C1&amp;".e40.5080102"</f>
        <v>Company Code.e40.5080102</v>
      </c>
      <c r="B913" s="549">
        <f>'CB40'!$C$280</f>
        <v>0</v>
      </c>
      <c r="C913" s="549">
        <f>'CB40'!$E$280</f>
        <v>0</v>
      </c>
      <c r="D913" s="549">
        <f>'CB40'!$G$280</f>
        <v>0</v>
      </c>
    </row>
    <row r="914" spans="1:4">
      <c r="A914" s="11" t="str">
        <f>C1&amp;".e40.5080103"</f>
        <v>Company Code.e40.5080103</v>
      </c>
      <c r="B914" s="549">
        <f>'CB40'!$C$281</f>
        <v>0</v>
      </c>
      <c r="C914" s="549">
        <f>'CB40'!$E$281</f>
        <v>0</v>
      </c>
      <c r="D914" s="549">
        <f>'CB40'!$G$281</f>
        <v>0</v>
      </c>
    </row>
    <row r="915" spans="1:4">
      <c r="A915" s="11" t="str">
        <f>C1&amp;".e40.50802"</f>
        <v>Company Code.e40.50802</v>
      </c>
      <c r="B915" s="549">
        <f>'CB40'!$C$282</f>
        <v>0</v>
      </c>
      <c r="C915" s="549">
        <f>'CB40'!$E$282</f>
        <v>0</v>
      </c>
      <c r="D915" s="549">
        <f>'CB40'!$G$282</f>
        <v>0</v>
      </c>
    </row>
    <row r="916" spans="1:4">
      <c r="A916" s="11" t="str">
        <f>C1&amp;".e40.50803"</f>
        <v>Company Code.e40.50803</v>
      </c>
      <c r="B916" s="549">
        <f>'CB40'!$C$283</f>
        <v>0</v>
      </c>
      <c r="C916" s="549">
        <f>'CB40'!$E$283</f>
        <v>0</v>
      </c>
      <c r="D916" s="549">
        <f>'CB40'!$G$283</f>
        <v>0</v>
      </c>
    </row>
    <row r="917" spans="1:4">
      <c r="A917" s="11" t="str">
        <f>C1&amp;".e40.50804"</f>
        <v>Company Code.e40.50804</v>
      </c>
      <c r="B917" s="549">
        <f>'CB40'!$C$284</f>
        <v>0</v>
      </c>
      <c r="C917" s="549">
        <f>'CB40'!$E$284</f>
        <v>0</v>
      </c>
      <c r="D917" s="549">
        <f>'CB40'!$G$284</f>
        <v>0</v>
      </c>
    </row>
    <row r="918" spans="1:4">
      <c r="A918" s="11" t="str">
        <f>C1&amp;".e40.50805"</f>
        <v>Company Code.e40.50805</v>
      </c>
      <c r="B918" s="549">
        <f>'CB40'!$C$285</f>
        <v>0</v>
      </c>
      <c r="C918" s="549">
        <f>'CB40'!$E$285</f>
        <v>0</v>
      </c>
      <c r="D918" s="549">
        <f>'CB40'!$G$285</f>
        <v>0</v>
      </c>
    </row>
    <row r="919" spans="1:4">
      <c r="A919" s="11" t="str">
        <f>C1&amp;".e40.50806"</f>
        <v>Company Code.e40.50806</v>
      </c>
      <c r="B919" s="549">
        <f>'CB40'!$C$286</f>
        <v>0</v>
      </c>
      <c r="C919" s="549">
        <f>'CB40'!$E$286</f>
        <v>0</v>
      </c>
      <c r="D919" s="549">
        <f>'CB40'!$G$286</f>
        <v>0</v>
      </c>
    </row>
    <row r="920" spans="1:4">
      <c r="A920" s="11" t="str">
        <f>C1&amp;".e40.50807"</f>
        <v>Company Code.e40.50807</v>
      </c>
      <c r="B920" s="549">
        <f>'CB40'!$C$287</f>
        <v>0</v>
      </c>
      <c r="C920" s="549">
        <f>'CB40'!$E$287</f>
        <v>0</v>
      </c>
      <c r="D920" s="549">
        <f>'CB40'!$G$287</f>
        <v>0</v>
      </c>
    </row>
    <row r="921" spans="1:4">
      <c r="A921" s="11" t="str">
        <f>C1&amp;".e40.50808"</f>
        <v>Company Code.e40.50808</v>
      </c>
      <c r="B921" s="549">
        <f>'CB40'!$C$288</f>
        <v>0</v>
      </c>
      <c r="C921" s="549">
        <f>'CB40'!$E$288</f>
        <v>0</v>
      </c>
      <c r="D921" s="549">
        <f>'CB40'!$G$288</f>
        <v>0</v>
      </c>
    </row>
    <row r="922" spans="1:4">
      <c r="A922" s="11" t="s">
        <v>700</v>
      </c>
    </row>
    <row r="923" spans="1:4">
      <c r="A923" s="11" t="str">
        <f>C1&amp;".e40.50808_1.name"</f>
        <v>Company Code.e40.50808_1.name</v>
      </c>
      <c r="B923" s="549">
        <f>'CB40'!$A$289</f>
        <v>0</v>
      </c>
    </row>
    <row r="924" spans="1:4">
      <c r="A924" s="11" t="str">
        <f>C1&amp;".e40.50808_1.all"</f>
        <v>Company Code.e40.50808_1.all</v>
      </c>
      <c r="B924" s="549">
        <f>'CB40'!$C$289</f>
        <v>0</v>
      </c>
    </row>
    <row r="925" spans="1:4">
      <c r="A925" s="11" t="str">
        <f>C1&amp;".e40.50808_1.tt"</f>
        <v>Company Code.e40.50808_1.tt</v>
      </c>
      <c r="B925" s="549">
        <f>'CB40'!$E$289</f>
        <v>0</v>
      </c>
    </row>
    <row r="926" spans="1:4">
      <c r="A926" s="11" t="str">
        <f>C1&amp;".e40.50808_1.for"</f>
        <v>Company Code.e40.50808_1.for</v>
      </c>
      <c r="B926" s="549">
        <f>'CB40'!$G$289</f>
        <v>0</v>
      </c>
    </row>
    <row r="927" spans="1:4">
      <c r="A927" s="11" t="str">
        <f>C1&amp;".e40.50808_2.name"</f>
        <v>Company Code.e40.50808_2.name</v>
      </c>
      <c r="B927" s="549">
        <f>'CB40'!$A$290</f>
        <v>0</v>
      </c>
    </row>
    <row r="928" spans="1:4">
      <c r="A928" s="11" t="str">
        <f>C1&amp;".e40.50808_2.all"</f>
        <v>Company Code.e40.50808_2.all</v>
      </c>
      <c r="B928" s="549">
        <f>'CB40'!$C$290</f>
        <v>0</v>
      </c>
    </row>
    <row r="929" spans="1:2">
      <c r="A929" s="11" t="str">
        <f>C1&amp;".e40.50808_2.tt"</f>
        <v>Company Code.e40.50808_2.tt</v>
      </c>
      <c r="B929" s="549">
        <f>'CB40'!$E$290</f>
        <v>0</v>
      </c>
    </row>
    <row r="930" spans="1:2">
      <c r="A930" s="11" t="str">
        <f>C1&amp;".e40.50808_2.for"</f>
        <v>Company Code.e40.50808_2.for</v>
      </c>
      <c r="B930" s="549">
        <f>'CB40'!$G$290</f>
        <v>0</v>
      </c>
    </row>
    <row r="931" spans="1:2">
      <c r="A931" s="11" t="str">
        <f>C1&amp;".e40.50808_3.name"</f>
        <v>Company Code.e40.50808_3.name</v>
      </c>
      <c r="B931" s="549">
        <f>'CB40'!$A$291</f>
        <v>0</v>
      </c>
    </row>
    <row r="932" spans="1:2">
      <c r="A932" s="11" t="str">
        <f>C1&amp;".e40.50808_3.all"</f>
        <v>Company Code.e40.50808_3.all</v>
      </c>
      <c r="B932" s="549">
        <f>'CB40'!$C$291</f>
        <v>0</v>
      </c>
    </row>
    <row r="933" spans="1:2">
      <c r="A933" s="11" t="str">
        <f>C1&amp;".e40.50808_3.tt"</f>
        <v>Company Code.e40.50808_3.tt</v>
      </c>
      <c r="B933" s="549">
        <f>'CB40'!$E$291</f>
        <v>0</v>
      </c>
    </row>
    <row r="934" spans="1:2">
      <c r="A934" s="11" t="str">
        <f>C1&amp;".e40.50808_3.for"</f>
        <v>Company Code.e40.50808_3.for</v>
      </c>
      <c r="B934" s="549">
        <f>'CB40'!$G$291</f>
        <v>0</v>
      </c>
    </row>
    <row r="935" spans="1:2">
      <c r="A935" s="11" t="str">
        <f>C1&amp;".e40.50808_4.name"</f>
        <v>Company Code.e40.50808_4.name</v>
      </c>
      <c r="B935" s="549">
        <f>'CB40'!$A$292</f>
        <v>0</v>
      </c>
    </row>
    <row r="936" spans="1:2">
      <c r="A936" s="11" t="str">
        <f>C1&amp;".e40.50808_4.all"</f>
        <v>Company Code.e40.50808_4.all</v>
      </c>
      <c r="B936" s="549">
        <f>'CB40'!$C$292</f>
        <v>0</v>
      </c>
    </row>
    <row r="937" spans="1:2">
      <c r="A937" s="11" t="str">
        <f>C1&amp;".e40.50808_4.tt"</f>
        <v>Company Code.e40.50808_4.tt</v>
      </c>
      <c r="B937" s="549">
        <f>'CB40'!$E$292</f>
        <v>0</v>
      </c>
    </row>
    <row r="938" spans="1:2">
      <c r="A938" s="11" t="str">
        <f>C1&amp;".e40.50808_4.for"</f>
        <v>Company Code.e40.50808_4.for</v>
      </c>
      <c r="B938" s="549">
        <f>'CB40'!$G$292</f>
        <v>0</v>
      </c>
    </row>
    <row r="939" spans="1:2">
      <c r="A939" s="11" t="str">
        <f>C1&amp;".e40.50808_5.name"</f>
        <v>Company Code.e40.50808_5.name</v>
      </c>
      <c r="B939" s="549">
        <f>'CB40'!$A$293</f>
        <v>0</v>
      </c>
    </row>
    <row r="940" spans="1:2">
      <c r="A940" s="11" t="str">
        <f>C1&amp;".e40.50808_5.all"</f>
        <v>Company Code.e40.50808_5.all</v>
      </c>
      <c r="B940" s="549">
        <f>'CB40'!$C$293</f>
        <v>0</v>
      </c>
    </row>
    <row r="941" spans="1:2">
      <c r="A941" s="11" t="str">
        <f>C1&amp;".e40.50808_5.tt"</f>
        <v>Company Code.e40.50808_5.tt</v>
      </c>
      <c r="B941" s="549">
        <f>'CB40'!$E$293</f>
        <v>0</v>
      </c>
    </row>
    <row r="942" spans="1:2">
      <c r="A942" s="11" t="str">
        <f>C1&amp;".e40.50808_5.for"</f>
        <v>Company Code.e40.50808_5.for</v>
      </c>
      <c r="B942" s="549">
        <f>'CB40'!$G$293</f>
        <v>0</v>
      </c>
    </row>
    <row r="943" spans="1:2">
      <c r="A943" s="11" t="str">
        <f>C1&amp;".e40.50808_6.name"</f>
        <v>Company Code.e40.50808_6.name</v>
      </c>
      <c r="B943" s="549">
        <f>'CB40'!$A$294</f>
        <v>0</v>
      </c>
    </row>
    <row r="944" spans="1:2">
      <c r="A944" s="11" t="str">
        <f>C1&amp;".e40.50808_6.all"</f>
        <v>Company Code.e40.50808_6.all</v>
      </c>
      <c r="B944" s="549">
        <f>'CB40'!$C$294</f>
        <v>0</v>
      </c>
    </row>
    <row r="945" spans="1:2">
      <c r="A945" s="11" t="str">
        <f>C1&amp;".e40.50808_6.tt"</f>
        <v>Company Code.e40.50808_6.tt</v>
      </c>
      <c r="B945" s="549">
        <f>'CB40'!$E$294</f>
        <v>0</v>
      </c>
    </row>
    <row r="946" spans="1:2">
      <c r="A946" s="11" t="str">
        <f>C1&amp;".e40.50808_6.for"</f>
        <v>Company Code.e40.50808_6.for</v>
      </c>
      <c r="B946" s="549">
        <f>'CB40'!$G$294</f>
        <v>0</v>
      </c>
    </row>
    <row r="947" spans="1:2">
      <c r="A947" s="11" t="str">
        <f>C1&amp;".e40.50808_7.name"</f>
        <v>Company Code.e40.50808_7.name</v>
      </c>
      <c r="B947" s="549">
        <f>'CB40'!$A$295</f>
        <v>0</v>
      </c>
    </row>
    <row r="948" spans="1:2">
      <c r="A948" s="11" t="str">
        <f>C1&amp;".e40.50808_7.all"</f>
        <v>Company Code.e40.50808_7.all</v>
      </c>
      <c r="B948" s="549">
        <f>'CB40'!$C$295</f>
        <v>0</v>
      </c>
    </row>
    <row r="949" spans="1:2">
      <c r="A949" s="11" t="str">
        <f>C1&amp;".e40.50808_7.tt"</f>
        <v>Company Code.e40.50808_7.tt</v>
      </c>
      <c r="B949" s="549">
        <f>'CB40'!$E$295</f>
        <v>0</v>
      </c>
    </row>
    <row r="950" spans="1:2">
      <c r="A950" s="11" t="str">
        <f>C1&amp;".e40.50808_7.for"</f>
        <v>Company Code.e40.50808_7.for</v>
      </c>
      <c r="B950" s="549">
        <f>'CB40'!$G$295</f>
        <v>0</v>
      </c>
    </row>
    <row r="951" spans="1:2">
      <c r="A951" s="11" t="str">
        <f>C1&amp;".e40.50808_8.name"</f>
        <v>Company Code.e40.50808_8.name</v>
      </c>
      <c r="B951" s="549">
        <f>'CB40'!$A$296</f>
        <v>0</v>
      </c>
    </row>
    <row r="952" spans="1:2">
      <c r="A952" s="11" t="str">
        <f>C1&amp;".e40.50808_8.all"</f>
        <v>Company Code.e40.50808_8.all</v>
      </c>
      <c r="B952" s="549">
        <f>'CB40'!$C$296</f>
        <v>0</v>
      </c>
    </row>
    <row r="953" spans="1:2">
      <c r="A953" s="11" t="str">
        <f>C1&amp;".e40.50808_8.tt"</f>
        <v>Company Code.e40.50808_8.tt</v>
      </c>
      <c r="B953" s="549">
        <f>'CB40'!$E$296</f>
        <v>0</v>
      </c>
    </row>
    <row r="954" spans="1:2">
      <c r="A954" s="11" t="str">
        <f>C1&amp;".e40.50808_8.for"</f>
        <v>Company Code.e40.50808_8.for</v>
      </c>
      <c r="B954" s="549">
        <f>'CB40'!$G$296</f>
        <v>0</v>
      </c>
    </row>
    <row r="955" spans="1:2">
      <c r="A955" s="11" t="str">
        <f>C1&amp;".e40.50808_9.name"</f>
        <v>Company Code.e40.50808_9.name</v>
      </c>
      <c r="B955" s="549">
        <f>'CB40'!$A$297</f>
        <v>0</v>
      </c>
    </row>
    <row r="956" spans="1:2">
      <c r="A956" s="11" t="str">
        <f>C1&amp;".e40.50808_9.all"</f>
        <v>Company Code.e40.50808_9.all</v>
      </c>
      <c r="B956" s="549">
        <f>'CB40'!$C$297</f>
        <v>0</v>
      </c>
    </row>
    <row r="957" spans="1:2">
      <c r="A957" s="11" t="str">
        <f>C1&amp;".e40.50808_9.tt"</f>
        <v>Company Code.e40.50808_9.tt</v>
      </c>
      <c r="B957" s="549">
        <f>'CB40'!$E$297</f>
        <v>0</v>
      </c>
    </row>
    <row r="958" spans="1:2">
      <c r="A958" s="11" t="str">
        <f>C1&amp;".e40.50808_9.for"</f>
        <v>Company Code.e40.50808_9.for</v>
      </c>
      <c r="B958" s="549">
        <f>'CB40'!$G$297</f>
        <v>0</v>
      </c>
    </row>
    <row r="959" spans="1:2">
      <c r="A959" s="11" t="str">
        <f>C1&amp;".e40.50808_10.name"</f>
        <v>Company Code.e40.50808_10.name</v>
      </c>
      <c r="B959" s="549">
        <f>'CB40'!$A$298</f>
        <v>0</v>
      </c>
    </row>
    <row r="960" spans="1:2">
      <c r="A960" s="11" t="str">
        <f>C1&amp;".e40.50808_10.all"</f>
        <v>Company Code.e40.50808_10.all</v>
      </c>
      <c r="B960" s="549">
        <f>'CB40'!$C$298</f>
        <v>0</v>
      </c>
    </row>
    <row r="961" spans="1:5">
      <c r="A961" s="11" t="str">
        <f>C1&amp;".e40.50808_10.tt"</f>
        <v>Company Code.e40.50808_10.tt</v>
      </c>
      <c r="B961" s="549">
        <f>'CB40'!$E$298</f>
        <v>0</v>
      </c>
    </row>
    <row r="962" spans="1:5">
      <c r="A962" s="11" t="str">
        <f>C1&amp;".e40.50808_10.for"</f>
        <v>Company Code.e40.50808_10.for</v>
      </c>
      <c r="B962" s="549">
        <f>'CB40'!$G$298</f>
        <v>0</v>
      </c>
    </row>
    <row r="963" spans="1:5">
      <c r="A963" s="11" t="s">
        <v>701</v>
      </c>
      <c r="B963" s="500" t="s">
        <v>642</v>
      </c>
      <c r="C963" s="501" t="s">
        <v>680</v>
      </c>
      <c r="D963" s="501" t="s">
        <v>681</v>
      </c>
    </row>
    <row r="964" spans="1:5">
      <c r="A964" s="11" t="str">
        <f>C1&amp;".e40.508"</f>
        <v>Company Code.e40.508</v>
      </c>
      <c r="B964" s="549">
        <f>'CB40'!$C$299</f>
        <v>0</v>
      </c>
      <c r="C964" s="549">
        <f>'CB40'!$E$299</f>
        <v>0</v>
      </c>
      <c r="D964" s="549">
        <f>'CB40'!$G$299</f>
        <v>0</v>
      </c>
    </row>
    <row r="965" spans="1:5">
      <c r="A965" s="11" t="s">
        <v>702</v>
      </c>
      <c r="B965" s="501" t="s">
        <v>688</v>
      </c>
      <c r="C965" s="500" t="s">
        <v>642</v>
      </c>
      <c r="D965" s="501" t="s">
        <v>680</v>
      </c>
      <c r="E965" s="501" t="s">
        <v>681</v>
      </c>
    </row>
    <row r="966" spans="1:5">
      <c r="A966" s="11" t="str">
        <f>$C$1&amp;".e40.5150101"</f>
        <v>Company Code.e40.5150101</v>
      </c>
      <c r="B966" s="549">
        <f>'CB40'!$B$304</f>
        <v>0</v>
      </c>
      <c r="C966" s="549">
        <f>'CB40'!$C$304</f>
        <v>0</v>
      </c>
      <c r="D966" s="549">
        <f>'CB40'!$E$304</f>
        <v>0</v>
      </c>
      <c r="E966" s="549">
        <f>'CB40'!$G$304</f>
        <v>0</v>
      </c>
    </row>
    <row r="967" spans="1:5">
      <c r="A967" s="11" t="str">
        <f>$C$1&amp;".e40.5150102"</f>
        <v>Company Code.e40.5150102</v>
      </c>
      <c r="B967" s="549">
        <f>'CB40'!$B$305</f>
        <v>0</v>
      </c>
      <c r="C967" s="549">
        <f>'CB40'!$C$305</f>
        <v>0</v>
      </c>
      <c r="D967" s="549">
        <f>'CB40'!$E$305</f>
        <v>0</v>
      </c>
      <c r="E967" s="549">
        <f>'CB40'!$G$305</f>
        <v>0</v>
      </c>
    </row>
    <row r="968" spans="1:5">
      <c r="A968" s="11" t="str">
        <f>$C$1&amp;".e40.5150103"</f>
        <v>Company Code.e40.5150103</v>
      </c>
      <c r="B968" s="549">
        <f>'CB40'!$B$306</f>
        <v>0</v>
      </c>
      <c r="C968" s="549">
        <f>'CB40'!$C$306</f>
        <v>0</v>
      </c>
      <c r="D968" s="549">
        <f>'CB40'!$E$306</f>
        <v>0</v>
      </c>
      <c r="E968" s="549">
        <f>'CB40'!$G$306</f>
        <v>0</v>
      </c>
    </row>
    <row r="969" spans="1:5">
      <c r="A969" s="11" t="str">
        <f>$C$1&amp;".e40.5150104"</f>
        <v>Company Code.e40.5150104</v>
      </c>
      <c r="B969" s="549">
        <f>'CB40'!$B$307</f>
        <v>0</v>
      </c>
      <c r="C969" s="549">
        <f>'CB40'!$C$307</f>
        <v>0</v>
      </c>
      <c r="D969" s="549">
        <f>'CB40'!$E$307</f>
        <v>0</v>
      </c>
      <c r="E969" s="549">
        <f>'CB40'!$G$307</f>
        <v>0</v>
      </c>
    </row>
    <row r="970" spans="1:5">
      <c r="A970" s="11" t="str">
        <f>$C$1&amp;".e40.5150105"</f>
        <v>Company Code.e40.5150105</v>
      </c>
      <c r="B970" s="549">
        <f>'CB40'!$B$308</f>
        <v>0</v>
      </c>
      <c r="C970" s="549">
        <f>'CB40'!$C$308</f>
        <v>0</v>
      </c>
      <c r="D970" s="549">
        <f>'CB40'!$E$308</f>
        <v>0</v>
      </c>
      <c r="E970" s="549">
        <f>'CB40'!$G$308</f>
        <v>0</v>
      </c>
    </row>
    <row r="971" spans="1:5">
      <c r="A971" s="11" t="str">
        <f>$C$1&amp;".e40.5150106"</f>
        <v>Company Code.e40.5150106</v>
      </c>
      <c r="B971" s="549">
        <f>'CB40'!$B$309</f>
        <v>0</v>
      </c>
      <c r="C971" s="549">
        <f>'CB40'!$C$309</f>
        <v>0</v>
      </c>
      <c r="D971" s="549">
        <f>'CB40'!$E$309</f>
        <v>0</v>
      </c>
      <c r="E971" s="549">
        <f>'CB40'!$G$309</f>
        <v>0</v>
      </c>
    </row>
    <row r="972" spans="1:5">
      <c r="A972" s="11" t="s">
        <v>703</v>
      </c>
    </row>
    <row r="973" spans="1:5">
      <c r="A973" s="198" t="s">
        <v>704</v>
      </c>
      <c r="B973" s="501" t="s">
        <v>688</v>
      </c>
      <c r="C973" s="500" t="s">
        <v>642</v>
      </c>
      <c r="D973" s="501" t="s">
        <v>680</v>
      </c>
      <c r="E973" s="501" t="s">
        <v>681</v>
      </c>
    </row>
    <row r="974" spans="1:5">
      <c r="A974" s="11" t="str">
        <f>$C$1&amp;".e40.5150107"</f>
        <v>Company Code.e40.5150107</v>
      </c>
      <c r="B974" s="549">
        <f>'CB40'!$B$310</f>
        <v>0</v>
      </c>
      <c r="C974" s="549">
        <f>'CB40'!$C$310</f>
        <v>0</v>
      </c>
      <c r="D974" s="549">
        <f>'CB40'!$E$310</f>
        <v>0</v>
      </c>
      <c r="E974" s="549">
        <f>'CB40'!$G$310</f>
        <v>0</v>
      </c>
    </row>
    <row r="975" spans="1:5">
      <c r="A975" s="11" t="str">
        <f>$C$1&amp;".e40.5150108"</f>
        <v>Company Code.e40.5150108</v>
      </c>
      <c r="B975" s="549">
        <f>'CB40'!$B$311</f>
        <v>0</v>
      </c>
      <c r="C975" s="549">
        <f>'CB40'!$C$311</f>
        <v>0</v>
      </c>
      <c r="D975" s="549">
        <f>'CB40'!$E$311</f>
        <v>0</v>
      </c>
      <c r="E975" s="549">
        <f>'CB40'!$G$311</f>
        <v>0</v>
      </c>
    </row>
    <row r="976" spans="1:5">
      <c r="A976" s="11" t="str">
        <f>$C$1&amp;".e40.5150109"</f>
        <v>Company Code.e40.5150109</v>
      </c>
      <c r="B976" s="549">
        <f>'CB40'!$B$312</f>
        <v>0</v>
      </c>
      <c r="C976" s="549">
        <f>'CB40'!$C$312</f>
        <v>0</v>
      </c>
      <c r="D976" s="549">
        <f>'CB40'!$E$312</f>
        <v>0</v>
      </c>
      <c r="E976" s="549">
        <f>'CB40'!$G$312</f>
        <v>0</v>
      </c>
    </row>
    <row r="977" spans="1:5">
      <c r="A977" s="11" t="str">
        <f>$C$1&amp;".e40.5150110"</f>
        <v>Company Code.e40.5150110</v>
      </c>
      <c r="B977" s="549">
        <f>'CB40'!$B$313</f>
        <v>0</v>
      </c>
      <c r="C977" s="549">
        <f>'CB40'!$C$313</f>
        <v>0</v>
      </c>
      <c r="D977" s="549">
        <f>'CB40'!$E$313</f>
        <v>0</v>
      </c>
      <c r="E977" s="549">
        <f>'CB40'!$G$313</f>
        <v>0</v>
      </c>
    </row>
    <row r="978" spans="1:5">
      <c r="A978" s="11" t="str">
        <f>$C$1&amp;".e40.5150111"</f>
        <v>Company Code.e40.5150111</v>
      </c>
      <c r="B978" s="549">
        <f>'CB40'!$B$314</f>
        <v>0</v>
      </c>
      <c r="C978" s="549">
        <f>'CB40'!$C$314</f>
        <v>0</v>
      </c>
      <c r="D978" s="549">
        <f>'CB40'!$E$314</f>
        <v>0</v>
      </c>
      <c r="E978" s="549">
        <f>'CB40'!$G$314</f>
        <v>0</v>
      </c>
    </row>
    <row r="979" spans="1:5">
      <c r="A979" s="11" t="str">
        <f>$C$1&amp;".e40.5150112"</f>
        <v>Company Code.e40.5150112</v>
      </c>
      <c r="B979" s="549">
        <f>'CB40'!$B$315</f>
        <v>0</v>
      </c>
      <c r="C979" s="549">
        <f>'CB40'!$C$315</f>
        <v>0</v>
      </c>
      <c r="D979" s="549">
        <f>'CB40'!$E$315</f>
        <v>0</v>
      </c>
      <c r="E979" s="549">
        <f>'CB40'!$G$315</f>
        <v>0</v>
      </c>
    </row>
    <row r="980" spans="1:5">
      <c r="A980" s="11" t="str">
        <f>$C$1&amp;".e40.5150113"</f>
        <v>Company Code.e40.5150113</v>
      </c>
      <c r="B980" s="549">
        <f>'CB40'!$B$316</f>
        <v>0</v>
      </c>
      <c r="C980" s="549">
        <f>'CB40'!$C$316</f>
        <v>0</v>
      </c>
      <c r="D980" s="549">
        <f>'CB40'!$E$316</f>
        <v>0</v>
      </c>
      <c r="E980" s="549">
        <f>'CB40'!$G$316</f>
        <v>0</v>
      </c>
    </row>
    <row r="981" spans="1:5">
      <c r="A981" s="11" t="str">
        <f>$C$1&amp;".e40.5150114"</f>
        <v>Company Code.e40.5150114</v>
      </c>
      <c r="B981" s="549">
        <f>'CB40'!$B$317</f>
        <v>0</v>
      </c>
      <c r="C981" s="549">
        <f>'CB40'!$C$317</f>
        <v>0</v>
      </c>
      <c r="D981" s="549">
        <f>'CB40'!$E$317</f>
        <v>0</v>
      </c>
      <c r="E981" s="549">
        <f>'CB40'!$G$317</f>
        <v>0</v>
      </c>
    </row>
    <row r="982" spans="1:5">
      <c r="A982" s="11" t="str">
        <f>$C$1&amp;".e40.5150115"</f>
        <v>Company Code.e40.5150115</v>
      </c>
      <c r="B982" s="549">
        <f>'CB40'!$B$318</f>
        <v>0</v>
      </c>
      <c r="C982" s="549">
        <f>'CB40'!$C$318</f>
        <v>0</v>
      </c>
      <c r="D982" s="549">
        <f>'CB40'!$E$318</f>
        <v>0</v>
      </c>
      <c r="E982" s="549">
        <f>'CB40'!$G$318</f>
        <v>0</v>
      </c>
    </row>
    <row r="983" spans="1:5">
      <c r="A983" s="11" t="str">
        <f>C1&amp;".e40.51501"</f>
        <v>Company Code.e40.51501</v>
      </c>
      <c r="B983" s="549">
        <f>'CB40'!$B$319</f>
        <v>0</v>
      </c>
      <c r="C983" s="549">
        <f>'CB40'!$C$319</f>
        <v>0</v>
      </c>
      <c r="D983" s="549">
        <f>'CB40'!$E$319</f>
        <v>0</v>
      </c>
      <c r="E983" s="549">
        <f>'CB40'!$G$319</f>
        <v>0</v>
      </c>
    </row>
    <row r="984" spans="1:5">
      <c r="A984" s="11" t="str">
        <f>C1&amp;".e40.5150201"</f>
        <v>Company Code.e40.5150201</v>
      </c>
      <c r="B984" s="549">
        <f>'CB40'!$B$322</f>
        <v>0</v>
      </c>
      <c r="C984" s="549">
        <f>'CB40'!$C$322</f>
        <v>0</v>
      </c>
      <c r="D984" s="549">
        <f>'CB40'!$E$322</f>
        <v>0</v>
      </c>
      <c r="E984" s="549">
        <f>'CB40'!$G$322</f>
        <v>0</v>
      </c>
    </row>
    <row r="985" spans="1:5">
      <c r="A985" s="11" t="str">
        <f>C1&amp;".e40.5150202"</f>
        <v>Company Code.e40.5150202</v>
      </c>
      <c r="B985" s="549">
        <f>'CB40'!$B$323</f>
        <v>0</v>
      </c>
      <c r="C985" s="549">
        <f>'CB40'!$C$323</f>
        <v>0</v>
      </c>
      <c r="D985" s="549">
        <f>'CB40'!$E$323</f>
        <v>0</v>
      </c>
      <c r="E985" s="549">
        <f>'CB40'!$G$323</f>
        <v>0</v>
      </c>
    </row>
    <row r="986" spans="1:5">
      <c r="A986" s="11" t="str">
        <f>C1&amp;".e40.5150203"</f>
        <v>Company Code.e40.5150203</v>
      </c>
      <c r="B986" s="549">
        <f>'CB40'!$B$324</f>
        <v>0</v>
      </c>
      <c r="C986" s="549">
        <f>'CB40'!$C$324</f>
        <v>0</v>
      </c>
      <c r="D986" s="549">
        <f>'CB40'!$E$324</f>
        <v>0</v>
      </c>
      <c r="E986" s="549">
        <f>'CB40'!$G$324</f>
        <v>0</v>
      </c>
    </row>
    <row r="987" spans="1:5">
      <c r="A987" s="11" t="str">
        <f>C1&amp;".e40.5150204"</f>
        <v>Company Code.e40.5150204</v>
      </c>
      <c r="B987" s="549">
        <f>'CB40'!$B$325</f>
        <v>0</v>
      </c>
      <c r="C987" s="549">
        <f>'CB40'!$C$325</f>
        <v>0</v>
      </c>
      <c r="D987" s="549">
        <f>'CB40'!$E$325</f>
        <v>0</v>
      </c>
      <c r="E987" s="549">
        <f>'CB40'!$G$325</f>
        <v>0</v>
      </c>
    </row>
    <row r="988" spans="1:5">
      <c r="A988" s="11" t="str">
        <f>C1&amp;".e40.5150205"</f>
        <v>Company Code.e40.5150205</v>
      </c>
      <c r="B988" s="549">
        <f>'CB40'!$B$326</f>
        <v>0</v>
      </c>
      <c r="C988" s="549">
        <f>'CB40'!$C$326</f>
        <v>0</v>
      </c>
      <c r="D988" s="549">
        <f>'CB40'!$E$326</f>
        <v>0</v>
      </c>
      <c r="E988" s="549">
        <f>'CB40'!$G$326</f>
        <v>0</v>
      </c>
    </row>
    <row r="989" spans="1:5">
      <c r="A989" s="11" t="str">
        <f>C1&amp;".e40.5150206"</f>
        <v>Company Code.e40.5150206</v>
      </c>
      <c r="B989" s="549">
        <f>'CB40'!$B$327</f>
        <v>0</v>
      </c>
      <c r="C989" s="549">
        <f>'CB40'!$C$327</f>
        <v>0</v>
      </c>
      <c r="D989" s="549">
        <f>'CB40'!$E$327</f>
        <v>0</v>
      </c>
      <c r="E989" s="549">
        <f>'CB40'!$G$327</f>
        <v>0</v>
      </c>
    </row>
    <row r="990" spans="1:5">
      <c r="A990" s="11" t="str">
        <f>C1&amp;".e40.5150207"</f>
        <v>Company Code.e40.5150207</v>
      </c>
      <c r="B990" s="549">
        <f>'CB40'!$B$328</f>
        <v>0</v>
      </c>
      <c r="C990" s="549">
        <f>'CB40'!$C$328</f>
        <v>0</v>
      </c>
      <c r="D990" s="549">
        <f>'CB40'!$E$328</f>
        <v>0</v>
      </c>
      <c r="E990" s="549">
        <f>'CB40'!$G$328</f>
        <v>0</v>
      </c>
    </row>
    <row r="991" spans="1:5">
      <c r="A991" s="11" t="str">
        <f>C1&amp;".e40.51502"</f>
        <v>Company Code.e40.51502</v>
      </c>
      <c r="B991" s="549">
        <f>'CB40'!$B$329</f>
        <v>0</v>
      </c>
      <c r="C991" s="549">
        <f>'CB40'!$C$329</f>
        <v>0</v>
      </c>
      <c r="D991" s="549">
        <f>'CB40'!$E$329</f>
        <v>0</v>
      </c>
      <c r="E991" s="549">
        <f>'CB40'!$G$329</f>
        <v>0</v>
      </c>
    </row>
    <row r="992" spans="1:5">
      <c r="A992" s="11" t="str">
        <f>C1&amp;".e40.515"</f>
        <v>Company Code.e40.515</v>
      </c>
      <c r="B992" s="549">
        <f>'CB40'!$B$331</f>
        <v>0</v>
      </c>
      <c r="C992" s="549">
        <f>'CB40'!$C$331</f>
        <v>0</v>
      </c>
      <c r="D992" s="549">
        <f>'CB40'!$E$331</f>
        <v>0</v>
      </c>
      <c r="E992" s="549">
        <f>'CB40'!$G$331</f>
        <v>0</v>
      </c>
    </row>
    <row r="993" spans="1:5">
      <c r="A993" s="11" t="str">
        <f>C1&amp;".e40.5150301"</f>
        <v>Company Code.e40.5150301</v>
      </c>
      <c r="B993" s="549">
        <f>'CB40'!$B$334</f>
        <v>0</v>
      </c>
      <c r="C993" s="549">
        <f>'CB40'!$C$334</f>
        <v>0</v>
      </c>
      <c r="D993" s="549">
        <f>'CB40'!$E$334</f>
        <v>0</v>
      </c>
      <c r="E993" s="549">
        <f>'CB40'!$G$334</f>
        <v>0</v>
      </c>
    </row>
    <row r="994" spans="1:5">
      <c r="A994" s="11" t="str">
        <f>C1&amp;".e40.5150302"</f>
        <v>Company Code.e40.5150302</v>
      </c>
      <c r="B994" s="549">
        <f>'CB40'!$B$335</f>
        <v>0</v>
      </c>
      <c r="C994" s="549">
        <f>'CB40'!$C$335</f>
        <v>0</v>
      </c>
      <c r="D994" s="549">
        <f>'CB40'!$E$335</f>
        <v>0</v>
      </c>
      <c r="E994" s="549">
        <f>'CB40'!$G$335</f>
        <v>0</v>
      </c>
    </row>
    <row r="995" spans="1:5">
      <c r="A995" s="11" t="str">
        <f>C1&amp;".e40.5150303"</f>
        <v>Company Code.e40.5150303</v>
      </c>
      <c r="B995" s="549">
        <f>'CB40'!$B$336</f>
        <v>0</v>
      </c>
      <c r="C995" s="549">
        <f>'CB40'!$C$336</f>
        <v>0</v>
      </c>
      <c r="D995" s="549">
        <f>'CB40'!$E$336</f>
        <v>0</v>
      </c>
      <c r="E995" s="549">
        <f>'CB40'!$G$336</f>
        <v>0</v>
      </c>
    </row>
    <row r="996" spans="1:5">
      <c r="A996" s="11" t="str">
        <f>C1&amp;".e40.5150304"</f>
        <v>Company Code.e40.5150304</v>
      </c>
      <c r="B996" s="549">
        <f>'CB40'!$B$337</f>
        <v>0</v>
      </c>
      <c r="C996" s="549">
        <f>'CB40'!$C$337</f>
        <v>0</v>
      </c>
      <c r="D996" s="549">
        <f>'CB40'!$E$337</f>
        <v>0</v>
      </c>
      <c r="E996" s="549">
        <f>'CB40'!$G$337</f>
        <v>0</v>
      </c>
    </row>
    <row r="997" spans="1:5">
      <c r="A997" s="11" t="str">
        <f>C1&amp;".e40.5150305"</f>
        <v>Company Code.e40.5150305</v>
      </c>
      <c r="B997" s="549">
        <f>'CB40'!$B$338</f>
        <v>0</v>
      </c>
      <c r="C997" s="549">
        <f>'CB40'!$C$338</f>
        <v>0</v>
      </c>
      <c r="D997" s="549">
        <f>'CB40'!$E$338</f>
        <v>0</v>
      </c>
      <c r="E997" s="549">
        <f>'CB40'!$G$338</f>
        <v>0</v>
      </c>
    </row>
    <row r="998" spans="1:5">
      <c r="A998" s="11" t="str">
        <f>C1&amp;".e40.5150306"</f>
        <v>Company Code.e40.5150306</v>
      </c>
      <c r="B998" s="549">
        <f>'CB40'!$B$339</f>
        <v>0</v>
      </c>
      <c r="C998" s="549">
        <f>'CB40'!$C$339</f>
        <v>0</v>
      </c>
      <c r="D998" s="549">
        <f>'CB40'!$E$339</f>
        <v>0</v>
      </c>
      <c r="E998" s="549">
        <f>'CB40'!$G$339</f>
        <v>0</v>
      </c>
    </row>
    <row r="999" spans="1:5">
      <c r="A999" s="11" t="str">
        <f>C1&amp;".e40.5150307"</f>
        <v>Company Code.e40.5150307</v>
      </c>
      <c r="B999" s="549">
        <f>'CB40'!$B$340</f>
        <v>0</v>
      </c>
      <c r="C999" s="549">
        <f>'CB40'!$C$340</f>
        <v>0</v>
      </c>
      <c r="D999" s="549">
        <f>'CB40'!$E$340</f>
        <v>0</v>
      </c>
      <c r="E999" s="549">
        <f>'CB40'!$G$340</f>
        <v>0</v>
      </c>
    </row>
    <row r="1000" spans="1:5">
      <c r="A1000" s="11" t="str">
        <f>C1&amp;".e40.5150308"</f>
        <v>Company Code.e40.5150308</v>
      </c>
      <c r="B1000" s="549">
        <f>'CB40'!$B$341</f>
        <v>0</v>
      </c>
      <c r="C1000" s="549">
        <f>'CB40'!$C$341</f>
        <v>0</v>
      </c>
      <c r="D1000" s="549">
        <f>'CB40'!$E$341</f>
        <v>0</v>
      </c>
      <c r="E1000" s="549">
        <f>'CB40'!$G$341</f>
        <v>0</v>
      </c>
    </row>
    <row r="1001" spans="1:5">
      <c r="A1001" s="11" t="str">
        <f>C1&amp;".e40.5150309"</f>
        <v>Company Code.e40.5150309</v>
      </c>
      <c r="B1001" s="549">
        <f>'CB40'!$B$342</f>
        <v>0</v>
      </c>
      <c r="C1001" s="549">
        <f>'CB40'!$C$342</f>
        <v>0</v>
      </c>
      <c r="D1001" s="549">
        <f>'CB40'!$E$342</f>
        <v>0</v>
      </c>
      <c r="E1001" s="549">
        <f>'CB40'!$G$342</f>
        <v>0</v>
      </c>
    </row>
    <row r="1002" spans="1:5">
      <c r="A1002" s="11" t="str">
        <f>C1&amp;".e40.5150310"</f>
        <v>Company Code.e40.5150310</v>
      </c>
      <c r="B1002" s="549">
        <f>'CB40'!$B$343</f>
        <v>0</v>
      </c>
      <c r="C1002" s="549">
        <f>'CB40'!$C$343</f>
        <v>0</v>
      </c>
      <c r="D1002" s="549">
        <f>'CB40'!$E$343</f>
        <v>0</v>
      </c>
      <c r="E1002" s="549">
        <f>'CB40'!$G$343</f>
        <v>0</v>
      </c>
    </row>
    <row r="1003" spans="1:5">
      <c r="A1003" s="11" t="str">
        <f>C1&amp;".e40.5150311"</f>
        <v>Company Code.e40.5150311</v>
      </c>
      <c r="B1003" s="549">
        <f>'CB40'!$B$344</f>
        <v>0</v>
      </c>
      <c r="C1003" s="549">
        <f>'CB40'!$C$344</f>
        <v>0</v>
      </c>
      <c r="D1003" s="549">
        <f>'CB40'!$E$344</f>
        <v>0</v>
      </c>
      <c r="E1003" s="549">
        <f>'CB40'!$G$344</f>
        <v>0</v>
      </c>
    </row>
    <row r="1004" spans="1:5">
      <c r="A1004" s="11" t="str">
        <f>C1&amp;".e40.51503"</f>
        <v>Company Code.e40.51503</v>
      </c>
      <c r="B1004" s="549">
        <f>'CB40'!$B$345</f>
        <v>0</v>
      </c>
      <c r="C1004" s="549">
        <f>'CB40'!$C$345</f>
        <v>0</v>
      </c>
      <c r="D1004" s="549">
        <f>'CB40'!$E$345</f>
        <v>0</v>
      </c>
      <c r="E1004" s="549">
        <f>'CB40'!$G$345</f>
        <v>0</v>
      </c>
    </row>
    <row r="1005" spans="1:5">
      <c r="A1005" s="11" t="s">
        <v>705</v>
      </c>
      <c r="B1005" s="500" t="s">
        <v>642</v>
      </c>
      <c r="C1005" s="501" t="s">
        <v>680</v>
      </c>
      <c r="D1005" s="501" t="s">
        <v>681</v>
      </c>
    </row>
    <row r="1006" spans="1:5">
      <c r="A1006" s="11" t="str">
        <f>C1&amp;".e40.51001"</f>
        <v>Company Code.e40.51001</v>
      </c>
      <c r="B1006" s="549">
        <f>'CB40'!$C$349</f>
        <v>0</v>
      </c>
      <c r="C1006" s="549">
        <f>'CB40'!$E$349</f>
        <v>0</v>
      </c>
      <c r="D1006" s="549">
        <f>'CB40'!$G$349</f>
        <v>0</v>
      </c>
    </row>
    <row r="1007" spans="1:5">
      <c r="A1007" s="11" t="str">
        <f>C1&amp;".e40.51002"</f>
        <v>Company Code.e40.51002</v>
      </c>
      <c r="B1007" s="549">
        <f>'CB40'!$C$350</f>
        <v>0</v>
      </c>
      <c r="C1007" s="549">
        <f>'CB40'!$E$350</f>
        <v>0</v>
      </c>
      <c r="D1007" s="549">
        <f>'CB40'!$G$350</f>
        <v>0</v>
      </c>
    </row>
    <row r="1008" spans="1:5">
      <c r="A1008" s="11" t="str">
        <f>C1&amp;".e40.51003"</f>
        <v>Company Code.e40.51003</v>
      </c>
      <c r="B1008" s="549">
        <f>'CB40'!$C$351</f>
        <v>0</v>
      </c>
      <c r="C1008" s="549">
        <f>'CB40'!$E$351</f>
        <v>0</v>
      </c>
      <c r="D1008" s="549">
        <f>'CB40'!$G$351</f>
        <v>0</v>
      </c>
    </row>
    <row r="1009" spans="1:5">
      <c r="A1009" s="11" t="str">
        <f>C1&amp;".e40.510"</f>
        <v>Company Code.e40.510</v>
      </c>
      <c r="B1009" s="549">
        <f>'CB40'!$C$352</f>
        <v>0</v>
      </c>
      <c r="C1009" s="549">
        <f>'CB40'!$E$352</f>
        <v>0</v>
      </c>
      <c r="D1009" s="549">
        <f>'CB40'!$G$352</f>
        <v>0</v>
      </c>
    </row>
    <row r="1010" spans="1:5">
      <c r="A1010" s="11" t="str">
        <f>C1&amp;".e40.51101"</f>
        <v>Company Code.e40.51101</v>
      </c>
      <c r="B1010" s="549">
        <f>'CB40'!$C$356</f>
        <v>0</v>
      </c>
      <c r="C1010" s="549">
        <f>'CB40'!$E$356</f>
        <v>0</v>
      </c>
      <c r="D1010" s="549">
        <f>'CB40'!$G$356</f>
        <v>0</v>
      </c>
    </row>
    <row r="1011" spans="1:5">
      <c r="A1011" s="11" t="str">
        <f>C1&amp;".e40.51102"</f>
        <v>Company Code.e40.51102</v>
      </c>
      <c r="B1011" s="549">
        <f>'CB40'!$C$357</f>
        <v>0</v>
      </c>
      <c r="C1011" s="549">
        <f>'CB40'!$E$357</f>
        <v>0</v>
      </c>
      <c r="D1011" s="549">
        <f>'CB40'!$G$357</f>
        <v>0</v>
      </c>
    </row>
    <row r="1012" spans="1:5">
      <c r="A1012" s="11" t="str">
        <f>C1&amp;".e40.51103"</f>
        <v>Company Code.e40.51103</v>
      </c>
      <c r="B1012" s="549">
        <f>'CB40'!$C$358</f>
        <v>0</v>
      </c>
      <c r="C1012" s="549">
        <f>'CB40'!$E$358</f>
        <v>0</v>
      </c>
      <c r="D1012" s="549">
        <f>'CB40'!$G$358</f>
        <v>0</v>
      </c>
    </row>
    <row r="1013" spans="1:5">
      <c r="A1013" s="11" t="str">
        <f>C1&amp;".e40.51104"</f>
        <v>Company Code.e40.51104</v>
      </c>
      <c r="B1013" s="549">
        <f>'CB40'!$C$359</f>
        <v>0</v>
      </c>
      <c r="C1013" s="549">
        <f>'CB40'!$E$359</f>
        <v>0</v>
      </c>
      <c r="D1013" s="549">
        <f>'CB40'!$G$359</f>
        <v>0</v>
      </c>
    </row>
    <row r="1014" spans="1:5">
      <c r="A1014" s="11" t="str">
        <f>C1&amp;".e40.51105"</f>
        <v>Company Code.e40.51105</v>
      </c>
      <c r="B1014" s="549">
        <f>'CB40'!$C$360</f>
        <v>0</v>
      </c>
      <c r="C1014" s="549">
        <f>'CB40'!$E$360</f>
        <v>0</v>
      </c>
      <c r="D1014" s="549">
        <f>'CB40'!$G$360</f>
        <v>0</v>
      </c>
    </row>
    <row r="1015" spans="1:5">
      <c r="A1015" s="11" t="str">
        <f>C1&amp;".e40.511"</f>
        <v>Company Code.e40.511</v>
      </c>
      <c r="B1015" s="549">
        <f>'CB40'!$C$361</f>
        <v>0</v>
      </c>
      <c r="C1015" s="549">
        <f>'CB40'!$E$361</f>
        <v>0</v>
      </c>
      <c r="D1015" s="549">
        <f>'CB40'!$G$361</f>
        <v>0</v>
      </c>
    </row>
    <row r="1016" spans="1:5">
      <c r="A1016" s="11" t="str">
        <f>$C$1&amp;".e40.5160101"</f>
        <v>Company Code.e40.5160101</v>
      </c>
      <c r="B1016" s="549">
        <f>'CB40'!$C$366</f>
        <v>0</v>
      </c>
      <c r="C1016" s="549">
        <f>'CB40'!$E$366</f>
        <v>0</v>
      </c>
      <c r="D1016" s="549">
        <f>'CB40'!$G$366</f>
        <v>0</v>
      </c>
    </row>
    <row r="1017" spans="1:5">
      <c r="A1017" s="11" t="str">
        <f>$C$1&amp;".e40.5160102"</f>
        <v>Company Code.e40.5160102</v>
      </c>
      <c r="B1017" s="549">
        <f>'CB40'!$C$367</f>
        <v>0</v>
      </c>
      <c r="C1017" s="549">
        <f>'CB40'!$E$367</f>
        <v>0</v>
      </c>
      <c r="D1017" s="549">
        <f>'CB40'!$G$367</f>
        <v>0</v>
      </c>
    </row>
    <row r="1018" spans="1:5">
      <c r="A1018" s="11" t="str">
        <f>$C$1&amp;".e40.5160103"</f>
        <v>Company Code.e40.5160103</v>
      </c>
      <c r="B1018" s="549">
        <f>'CB40'!$C$368</f>
        <v>0</v>
      </c>
      <c r="C1018" s="549">
        <f>'CB40'!$E$368</f>
        <v>0</v>
      </c>
      <c r="D1018" s="549">
        <f>'CB40'!$G$368</f>
        <v>0</v>
      </c>
    </row>
    <row r="1019" spans="1:5">
      <c r="A1019" s="11" t="str">
        <f>$C$1&amp;".e40.5160104"</f>
        <v>Company Code.e40.5160104</v>
      </c>
      <c r="B1019" s="549">
        <f>'CB40'!$C$369</f>
        <v>0</v>
      </c>
      <c r="C1019" s="549">
        <f>'CB40'!$E$369</f>
        <v>0</v>
      </c>
      <c r="D1019" s="549">
        <f>'CB40'!$G$369</f>
        <v>0</v>
      </c>
    </row>
    <row r="1020" spans="1:5">
      <c r="A1020" s="11" t="str">
        <f>$C$1&amp;".e40.5160105"</f>
        <v>Company Code.e40.5160105</v>
      </c>
      <c r="B1020" s="549">
        <f>'CB40'!$C$370</f>
        <v>0</v>
      </c>
      <c r="C1020" s="549">
        <f>'CB40'!$E$370</f>
        <v>0</v>
      </c>
      <c r="D1020" s="549">
        <f>'CB40'!$G$370</f>
        <v>0</v>
      </c>
    </row>
    <row r="1021" spans="1:5">
      <c r="A1021" s="11" t="str">
        <f>$C$1&amp;".e40.5160106"</f>
        <v>Company Code.e40.5160106</v>
      </c>
      <c r="B1021" s="549">
        <f>'CB40'!$C$371</f>
        <v>0</v>
      </c>
      <c r="C1021" s="549">
        <f>'CB40'!$E$371</f>
        <v>0</v>
      </c>
      <c r="D1021" s="549">
        <f>'CB40'!$G$371</f>
        <v>0</v>
      </c>
    </row>
    <row r="1022" spans="1:5">
      <c r="A1022" s="11" t="s">
        <v>706</v>
      </c>
    </row>
    <row r="1023" spans="1:5">
      <c r="A1023" s="11" t="s">
        <v>707</v>
      </c>
      <c r="B1023" s="500" t="s">
        <v>642</v>
      </c>
      <c r="C1023" s="501" t="s">
        <v>680</v>
      </c>
      <c r="D1023" s="501" t="s">
        <v>681</v>
      </c>
    </row>
    <row r="1024" spans="1:5">
      <c r="A1024" s="11" t="str">
        <f>$C$1&amp;".e40.5160107"</f>
        <v>Company Code.e40.5160107</v>
      </c>
      <c r="B1024" s="549">
        <f>'CB40'!$C$372</f>
        <v>0</v>
      </c>
      <c r="C1024" s="549">
        <f>'CB40'!$E$372</f>
        <v>0</v>
      </c>
      <c r="D1024" s="549">
        <f>'CB40'!$G$372</f>
        <v>0</v>
      </c>
      <c r="E1024" s="549"/>
    </row>
    <row r="1025" spans="1:5">
      <c r="A1025" s="11" t="str">
        <f>$C$1&amp;".e40.5160108"</f>
        <v>Company Code.e40.5160108</v>
      </c>
      <c r="B1025" s="549">
        <f>'CB40'!$C$373</f>
        <v>0</v>
      </c>
      <c r="C1025" s="549">
        <f>'CB40'!$E$373</f>
        <v>0</v>
      </c>
      <c r="D1025" s="549">
        <f>'CB40'!$G$373</f>
        <v>0</v>
      </c>
      <c r="E1025" s="549"/>
    </row>
    <row r="1026" spans="1:5">
      <c r="A1026" s="11" t="str">
        <f>$C$1&amp;".e40.5160109"</f>
        <v>Company Code.e40.5160109</v>
      </c>
      <c r="B1026" s="549">
        <f>'CB40'!$C$374</f>
        <v>0</v>
      </c>
      <c r="C1026" s="549">
        <f>'CB40'!$E$374</f>
        <v>0</v>
      </c>
      <c r="D1026" s="549">
        <f>'CB40'!$G$374</f>
        <v>0</v>
      </c>
      <c r="E1026" s="549"/>
    </row>
    <row r="1027" spans="1:5">
      <c r="A1027" s="11" t="str">
        <f>$C$1&amp;".e40.5160110"</f>
        <v>Company Code.e40.5160110</v>
      </c>
      <c r="B1027" s="549">
        <f>'CB40'!$C$375</f>
        <v>0</v>
      </c>
      <c r="C1027" s="549">
        <f>'CB40'!$E$375</f>
        <v>0</v>
      </c>
      <c r="D1027" s="549">
        <f>'CB40'!$G$375</f>
        <v>0</v>
      </c>
      <c r="E1027" s="549"/>
    </row>
    <row r="1028" spans="1:5">
      <c r="A1028" s="11" t="str">
        <f>$C$1&amp;".e40.5160111"</f>
        <v>Company Code.e40.5160111</v>
      </c>
      <c r="B1028" s="549">
        <f>'CB40'!$C$376</f>
        <v>0</v>
      </c>
      <c r="C1028" s="549">
        <f>'CB40'!$E$376</f>
        <v>0</v>
      </c>
      <c r="D1028" s="549">
        <f>'CB40'!$G$376</f>
        <v>0</v>
      </c>
      <c r="E1028" s="549"/>
    </row>
    <row r="1029" spans="1:5">
      <c r="A1029" s="11" t="str">
        <f>$C$1&amp;".e40.5160112"</f>
        <v>Company Code.e40.5160112</v>
      </c>
      <c r="B1029" s="549">
        <f>'CB40'!$C$377</f>
        <v>0</v>
      </c>
      <c r="C1029" s="549">
        <f>'CB40'!$E$377</f>
        <v>0</v>
      </c>
      <c r="D1029" s="549">
        <f>'CB40'!$G$377</f>
        <v>0</v>
      </c>
      <c r="E1029" s="549"/>
    </row>
    <row r="1030" spans="1:5">
      <c r="A1030" s="11" t="str">
        <f>$C$1&amp;".e40.5160113"</f>
        <v>Company Code.e40.5160113</v>
      </c>
      <c r="B1030" s="549">
        <f>'CB40'!$C$378</f>
        <v>0</v>
      </c>
      <c r="C1030" s="549">
        <f>'CB40'!$E$378</f>
        <v>0</v>
      </c>
      <c r="D1030" s="549">
        <f>'CB40'!$G$378</f>
        <v>0</v>
      </c>
      <c r="E1030" s="549"/>
    </row>
    <row r="1031" spans="1:5">
      <c r="A1031" s="11" t="str">
        <f>$C$1&amp;".e40.5160114"</f>
        <v>Company Code.e40.5160114</v>
      </c>
      <c r="B1031" s="549">
        <f>'CB40'!$C$379</f>
        <v>0</v>
      </c>
      <c r="C1031" s="549">
        <f>'CB40'!$E$379</f>
        <v>0</v>
      </c>
      <c r="D1031" s="549">
        <f>'CB40'!$G$379</f>
        <v>0</v>
      </c>
      <c r="E1031" s="549"/>
    </row>
    <row r="1032" spans="1:5">
      <c r="A1032" s="11" t="str">
        <f>$C$1&amp;".e40.5160115"</f>
        <v>Company Code.e40.5160115</v>
      </c>
      <c r="B1032" s="549">
        <f>'CB40'!$C$380</f>
        <v>0</v>
      </c>
      <c r="C1032" s="549">
        <f>'CB40'!$E$380</f>
        <v>0</v>
      </c>
      <c r="D1032" s="549">
        <f>'CB40'!$G$380</f>
        <v>0</v>
      </c>
      <c r="E1032" s="549"/>
    </row>
    <row r="1033" spans="1:5">
      <c r="A1033" s="11" t="str">
        <f>C1&amp;".e40.51601"</f>
        <v>Company Code.e40.51601</v>
      </c>
      <c r="B1033" s="549">
        <f>'CB40'!$C$381</f>
        <v>0</v>
      </c>
      <c r="C1033" s="549">
        <f>'CB40'!$E$381</f>
        <v>0</v>
      </c>
      <c r="D1033" s="549">
        <f>'CB40'!$G$381</f>
        <v>0</v>
      </c>
    </row>
    <row r="1034" spans="1:5">
      <c r="A1034" s="11" t="str">
        <f>$C$1&amp;".e40.5160201"</f>
        <v>Company Code.e40.5160201</v>
      </c>
      <c r="B1034" s="549">
        <f>'CB40'!$C$384</f>
        <v>0</v>
      </c>
      <c r="C1034" s="549">
        <f>'CB40'!$E$384</f>
        <v>0</v>
      </c>
      <c r="D1034" s="549">
        <f>'CB40'!$G$384</f>
        <v>0</v>
      </c>
    </row>
    <row r="1035" spans="1:5">
      <c r="A1035" s="11" t="str">
        <f>$C$1&amp;".e40.5160202"</f>
        <v>Company Code.e40.5160202</v>
      </c>
      <c r="B1035" s="549">
        <f>'CB40'!$C$385</f>
        <v>0</v>
      </c>
      <c r="C1035" s="549">
        <f>'CB40'!$E$385</f>
        <v>0</v>
      </c>
      <c r="D1035" s="549">
        <f>'CB40'!$G$385</f>
        <v>0</v>
      </c>
    </row>
    <row r="1036" spans="1:5">
      <c r="A1036" s="11" t="str">
        <f>$C$1&amp;".e40.5160203"</f>
        <v>Company Code.e40.5160203</v>
      </c>
      <c r="B1036" s="549">
        <f>'CB40'!$C$386</f>
        <v>0</v>
      </c>
      <c r="C1036" s="549">
        <f>'CB40'!$E$386</f>
        <v>0</v>
      </c>
      <c r="D1036" s="549">
        <f>'CB40'!$G$386</f>
        <v>0</v>
      </c>
    </row>
    <row r="1037" spans="1:5">
      <c r="A1037" s="11" t="str">
        <f>$C$1&amp;".e40.5160204"</f>
        <v>Company Code.e40.5160204</v>
      </c>
      <c r="B1037" s="549">
        <f>'CB40'!$C$387</f>
        <v>0</v>
      </c>
      <c r="C1037" s="549">
        <f>'CB40'!$E$387</f>
        <v>0</v>
      </c>
      <c r="D1037" s="549">
        <f>'CB40'!$G$387</f>
        <v>0</v>
      </c>
    </row>
    <row r="1038" spans="1:5">
      <c r="A1038" s="11" t="str">
        <f>$C$1&amp;".e40.5160205"</f>
        <v>Company Code.e40.5160205</v>
      </c>
      <c r="B1038" s="549">
        <f>'CB40'!$C$388</f>
        <v>0</v>
      </c>
      <c r="C1038" s="549">
        <f>'CB40'!$E$388</f>
        <v>0</v>
      </c>
      <c r="D1038" s="549">
        <f>'CB40'!$G$388</f>
        <v>0</v>
      </c>
    </row>
    <row r="1039" spans="1:5">
      <c r="A1039" s="11" t="str">
        <f>$C$1&amp;".e40.5160206"</f>
        <v>Company Code.e40.5160206</v>
      </c>
      <c r="B1039" s="549">
        <f>'CB40'!$C$389</f>
        <v>0</v>
      </c>
      <c r="C1039" s="549">
        <f>'CB40'!$E$389</f>
        <v>0</v>
      </c>
      <c r="D1039" s="549">
        <f>'CB40'!$G$389</f>
        <v>0</v>
      </c>
    </row>
    <row r="1040" spans="1:5">
      <c r="A1040" s="11" t="str">
        <f>$C$1&amp;".e40.5160207"</f>
        <v>Company Code.e40.5160207</v>
      </c>
      <c r="B1040" s="549">
        <f>'CB40'!$C$390</f>
        <v>0</v>
      </c>
      <c r="C1040" s="549">
        <f>'CB40'!$E$390</f>
        <v>0</v>
      </c>
      <c r="D1040" s="549">
        <f>'CB40'!$G$390</f>
        <v>0</v>
      </c>
    </row>
    <row r="1041" spans="1:5">
      <c r="A1041" s="11" t="str">
        <f>C1&amp;".e40.51602"</f>
        <v>Company Code.e40.51602</v>
      </c>
      <c r="B1041" s="549">
        <f>'CB40'!$C$391</f>
        <v>0</v>
      </c>
      <c r="C1041" s="549">
        <f>'CB40'!$E$391</f>
        <v>0</v>
      </c>
      <c r="D1041" s="549">
        <f>'CB40'!$G$391</f>
        <v>0</v>
      </c>
    </row>
    <row r="1042" spans="1:5">
      <c r="A1042" s="11" t="str">
        <f>C1&amp;".e40.516"</f>
        <v>Company Code.e40.516</v>
      </c>
      <c r="B1042" s="549">
        <f>'CB40'!$C$393</f>
        <v>0</v>
      </c>
      <c r="C1042" s="549">
        <f>'CB40'!$E$393</f>
        <v>0</v>
      </c>
      <c r="D1042" s="549">
        <f>'CB40'!$G$393</f>
        <v>0</v>
      </c>
    </row>
    <row r="1043" spans="1:5">
      <c r="A1043" s="11" t="str">
        <f>$C$1&amp;".e40.5170101"</f>
        <v>Company Code.e40.5170101</v>
      </c>
      <c r="B1043" s="549">
        <f>'CB40'!$C$397</f>
        <v>0</v>
      </c>
      <c r="C1043" s="549">
        <f>'CB40'!$E$397</f>
        <v>0</v>
      </c>
      <c r="D1043" s="549">
        <f>'CB40'!$G$397</f>
        <v>0</v>
      </c>
    </row>
    <row r="1044" spans="1:5">
      <c r="A1044" s="11" t="str">
        <f>$C$1&amp;".e40.5170102"</f>
        <v>Company Code.e40.5170102</v>
      </c>
      <c r="B1044" s="549">
        <f>'CB40'!$C$398</f>
        <v>0</v>
      </c>
      <c r="C1044" s="549">
        <f>'CB40'!$E$398</f>
        <v>0</v>
      </c>
      <c r="D1044" s="549">
        <f>'CB40'!$G$398</f>
        <v>0</v>
      </c>
    </row>
    <row r="1045" spans="1:5">
      <c r="A1045" s="11" t="str">
        <f>$C$1&amp;".e40.5170103"</f>
        <v>Company Code.e40.5170103</v>
      </c>
      <c r="B1045" s="549">
        <f>'CB40'!$C$399</f>
        <v>0</v>
      </c>
      <c r="C1045" s="549">
        <f>'CB40'!$E$399</f>
        <v>0</v>
      </c>
      <c r="D1045" s="549">
        <f>'CB40'!$G$399</f>
        <v>0</v>
      </c>
    </row>
    <row r="1046" spans="1:5">
      <c r="A1046" s="11" t="str">
        <f>$C$1&amp;".e40.5170104"</f>
        <v>Company Code.e40.5170104</v>
      </c>
      <c r="B1046" s="549">
        <f>'CB40'!$C$400</f>
        <v>0</v>
      </c>
      <c r="C1046" s="549">
        <f>'CB40'!$E$400</f>
        <v>0</v>
      </c>
      <c r="D1046" s="549">
        <f>'CB40'!$G$400</f>
        <v>0</v>
      </c>
    </row>
    <row r="1047" spans="1:5">
      <c r="A1047" s="11" t="str">
        <f>$C$1&amp;".e40.5170105"</f>
        <v>Company Code.e40.5170105</v>
      </c>
      <c r="B1047" s="549">
        <f>'CB40'!$C$401</f>
        <v>0</v>
      </c>
      <c r="C1047" s="549">
        <f>'CB40'!$E$401</f>
        <v>0</v>
      </c>
      <c r="D1047" s="549">
        <f>'CB40'!$G$401</f>
        <v>0</v>
      </c>
    </row>
    <row r="1048" spans="1:5">
      <c r="A1048" s="11" t="str">
        <f>$C$1&amp;".e40.5170106"</f>
        <v>Company Code.e40.5170106</v>
      </c>
      <c r="B1048" s="549">
        <f>'CB40'!$C$402</f>
        <v>0</v>
      </c>
      <c r="C1048" s="549">
        <f>'CB40'!$E$402</f>
        <v>0</v>
      </c>
      <c r="D1048" s="549">
        <f>'CB40'!$G$402</f>
        <v>0</v>
      </c>
    </row>
    <row r="1049" spans="1:5">
      <c r="A1049" s="11" t="s">
        <v>708</v>
      </c>
    </row>
    <row r="1050" spans="1:5">
      <c r="A1050" s="11" t="s">
        <v>709</v>
      </c>
      <c r="B1050" s="500" t="s">
        <v>642</v>
      </c>
      <c r="C1050" s="501" t="s">
        <v>680</v>
      </c>
      <c r="D1050" s="501" t="s">
        <v>681</v>
      </c>
    </row>
    <row r="1051" spans="1:5">
      <c r="A1051" s="11" t="str">
        <f>$C$1&amp;".e40.5170107"</f>
        <v>Company Code.e40.5170107</v>
      </c>
      <c r="B1051" s="549">
        <f>'CB40'!$C$403</f>
        <v>0</v>
      </c>
      <c r="C1051" s="549">
        <f>'CB40'!$E$403</f>
        <v>0</v>
      </c>
      <c r="D1051" s="549">
        <f>'CB40'!$G$403</f>
        <v>0</v>
      </c>
      <c r="E1051" s="549"/>
    </row>
    <row r="1052" spans="1:5">
      <c r="A1052" s="11" t="str">
        <f>$C$1&amp;".e40.5170108"</f>
        <v>Company Code.e40.5170108</v>
      </c>
      <c r="B1052" s="549">
        <f>'CB40'!$C$404</f>
        <v>0</v>
      </c>
      <c r="C1052" s="549">
        <f>'CB40'!$E$404</f>
        <v>0</v>
      </c>
      <c r="D1052" s="549">
        <f>'CB40'!$G$404</f>
        <v>0</v>
      </c>
      <c r="E1052" s="549"/>
    </row>
    <row r="1053" spans="1:5">
      <c r="A1053" s="11" t="str">
        <f>$C$1&amp;".e40.5170109"</f>
        <v>Company Code.e40.5170109</v>
      </c>
      <c r="B1053" s="549">
        <f>'CB40'!$C$405</f>
        <v>0</v>
      </c>
      <c r="C1053" s="549">
        <f>'CB40'!$E$405</f>
        <v>0</v>
      </c>
      <c r="D1053" s="549">
        <f>'CB40'!$G$405</f>
        <v>0</v>
      </c>
      <c r="E1053" s="549"/>
    </row>
    <row r="1054" spans="1:5">
      <c r="A1054" s="11" t="str">
        <f>$C$1&amp;".e40.5170110"</f>
        <v>Company Code.e40.5170110</v>
      </c>
      <c r="B1054" s="549">
        <f>'CB40'!$C$406</f>
        <v>0</v>
      </c>
      <c r="C1054" s="549">
        <f>'CB40'!$E$406</f>
        <v>0</v>
      </c>
      <c r="D1054" s="549">
        <f>'CB40'!$G$406</f>
        <v>0</v>
      </c>
      <c r="E1054" s="549"/>
    </row>
    <row r="1055" spans="1:5">
      <c r="A1055" s="11" t="str">
        <f>$C$1&amp;".e40.5170111"</f>
        <v>Company Code.e40.5170111</v>
      </c>
      <c r="B1055" s="549">
        <f>'CB40'!$C$407</f>
        <v>0</v>
      </c>
      <c r="C1055" s="549">
        <f>'CB40'!$E$407</f>
        <v>0</v>
      </c>
      <c r="D1055" s="549">
        <f>'CB40'!$G$407</f>
        <v>0</v>
      </c>
      <c r="E1055" s="549"/>
    </row>
    <row r="1056" spans="1:5">
      <c r="A1056" s="11" t="str">
        <f>$C$1&amp;".e40.5170112"</f>
        <v>Company Code.e40.5170112</v>
      </c>
      <c r="B1056" s="549">
        <f>'CB40'!$C$408</f>
        <v>0</v>
      </c>
      <c r="C1056" s="549">
        <f>'CB40'!$E$408</f>
        <v>0</v>
      </c>
      <c r="D1056" s="549">
        <f>'CB40'!$G$408</f>
        <v>0</v>
      </c>
      <c r="E1056" s="549"/>
    </row>
    <row r="1057" spans="1:5">
      <c r="A1057" s="11" t="str">
        <f>$C$1&amp;".e40.5170113"</f>
        <v>Company Code.e40.5170113</v>
      </c>
      <c r="B1057" s="549">
        <f>'CB40'!$C$409</f>
        <v>0</v>
      </c>
      <c r="C1057" s="549">
        <f>'CB40'!$E$409</f>
        <v>0</v>
      </c>
      <c r="D1057" s="549">
        <f>'CB40'!$G$409</f>
        <v>0</v>
      </c>
      <c r="E1057" s="549"/>
    </row>
    <row r="1058" spans="1:5">
      <c r="A1058" s="11" t="str">
        <f>$C$1&amp;".e40.5170114"</f>
        <v>Company Code.e40.5170114</v>
      </c>
      <c r="B1058" s="549">
        <f>'CB40'!$C$410</f>
        <v>0</v>
      </c>
      <c r="C1058" s="549">
        <f>'CB40'!$E$410</f>
        <v>0</v>
      </c>
      <c r="D1058" s="549">
        <f>'CB40'!$G$410</f>
        <v>0</v>
      </c>
      <c r="E1058" s="549"/>
    </row>
    <row r="1059" spans="1:5">
      <c r="A1059" s="11" t="str">
        <f>$C$1&amp;".e40.5170115"</f>
        <v>Company Code.e40.5170115</v>
      </c>
      <c r="B1059" s="549">
        <f>'CB40'!$C$411</f>
        <v>0</v>
      </c>
      <c r="C1059" s="549">
        <f>'CB40'!$E$411</f>
        <v>0</v>
      </c>
      <c r="D1059" s="549">
        <f>'CB40'!$G$411</f>
        <v>0</v>
      </c>
      <c r="E1059" s="549"/>
    </row>
    <row r="1060" spans="1:5">
      <c r="A1060" s="11" t="str">
        <f>C1&amp;".e40.51701"</f>
        <v>Company Code.e40.51701</v>
      </c>
      <c r="B1060" s="549">
        <f>'CB40'!$C$412</f>
        <v>0</v>
      </c>
      <c r="C1060" s="549">
        <f>'CB40'!$E$412</f>
        <v>0</v>
      </c>
      <c r="D1060" s="549">
        <f>'CB40'!$G$412</f>
        <v>0</v>
      </c>
    </row>
    <row r="1061" spans="1:5">
      <c r="A1061" s="11" t="str">
        <f>$C$1&amp;".e40.5170201"</f>
        <v>Company Code.e40.5170201</v>
      </c>
      <c r="B1061" s="549">
        <f>'CB40'!$C$415</f>
        <v>0</v>
      </c>
      <c r="C1061" s="549">
        <f>'CB40'!$E$415</f>
        <v>0</v>
      </c>
      <c r="D1061" s="549">
        <f>'CB40'!$G$415</f>
        <v>0</v>
      </c>
    </row>
    <row r="1062" spans="1:5">
      <c r="A1062" s="11" t="str">
        <f>$C$1&amp;".e40.5170202"</f>
        <v>Company Code.e40.5170202</v>
      </c>
      <c r="B1062" s="549">
        <f>'CB40'!$C$416</f>
        <v>0</v>
      </c>
      <c r="C1062" s="549">
        <f>'CB40'!$E$416</f>
        <v>0</v>
      </c>
      <c r="D1062" s="549">
        <f>'CB40'!$G$416</f>
        <v>0</v>
      </c>
    </row>
    <row r="1063" spans="1:5">
      <c r="A1063" s="11" t="str">
        <f>$C$1&amp;".e40.5170203"</f>
        <v>Company Code.e40.5170203</v>
      </c>
      <c r="B1063" s="549">
        <f>'CB40'!$C$417</f>
        <v>0</v>
      </c>
      <c r="C1063" s="549">
        <f>'CB40'!$E$417</f>
        <v>0</v>
      </c>
      <c r="D1063" s="549">
        <f>'CB40'!$G$417</f>
        <v>0</v>
      </c>
    </row>
    <row r="1064" spans="1:5">
      <c r="A1064" s="11" t="str">
        <f>$C$1&amp;".e40.5170204"</f>
        <v>Company Code.e40.5170204</v>
      </c>
      <c r="B1064" s="549">
        <f>'CB40'!$C$418</f>
        <v>0</v>
      </c>
      <c r="C1064" s="549">
        <f>'CB40'!$E$418</f>
        <v>0</v>
      </c>
      <c r="D1064" s="549">
        <f>'CB40'!$G$418</f>
        <v>0</v>
      </c>
    </row>
    <row r="1065" spans="1:5">
      <c r="A1065" s="11" t="str">
        <f>$C$1&amp;".e40.5170205"</f>
        <v>Company Code.e40.5170205</v>
      </c>
      <c r="B1065" s="549">
        <f>'CB40'!$C$419</f>
        <v>0</v>
      </c>
      <c r="C1065" s="549">
        <f>'CB40'!$E$419</f>
        <v>0</v>
      </c>
      <c r="D1065" s="549">
        <f>'CB40'!$G$419</f>
        <v>0</v>
      </c>
    </row>
    <row r="1066" spans="1:5">
      <c r="A1066" s="11" t="str">
        <f>$C$1&amp;".e40.5170206"</f>
        <v>Company Code.e40.5170206</v>
      </c>
      <c r="B1066" s="549">
        <f>'CB40'!$C$420</f>
        <v>0</v>
      </c>
      <c r="C1066" s="549">
        <f>'CB40'!$E$420</f>
        <v>0</v>
      </c>
      <c r="D1066" s="549">
        <f>'CB40'!$G$420</f>
        <v>0</v>
      </c>
    </row>
    <row r="1067" spans="1:5">
      <c r="A1067" s="11" t="str">
        <f>$C$1&amp;".e40.5170207"</f>
        <v>Company Code.e40.5170207</v>
      </c>
      <c r="B1067" s="549">
        <f>'CB40'!$C$421</f>
        <v>0</v>
      </c>
      <c r="C1067" s="549">
        <f>'CB40'!$E$421</f>
        <v>0</v>
      </c>
      <c r="D1067" s="549">
        <f>'CB40'!$G$421</f>
        <v>0</v>
      </c>
    </row>
    <row r="1068" spans="1:5">
      <c r="A1068" s="11" t="str">
        <f>C1&amp;".e40.51702"</f>
        <v>Company Code.e40.51702</v>
      </c>
      <c r="B1068" s="549">
        <f>'CB40'!$C$422</f>
        <v>0</v>
      </c>
      <c r="C1068" s="549">
        <f>'CB40'!$E$422</f>
        <v>0</v>
      </c>
      <c r="D1068" s="549">
        <f>'CB40'!$G$422</f>
        <v>0</v>
      </c>
    </row>
    <row r="1069" spans="1:5">
      <c r="A1069" s="11" t="str">
        <f>C1&amp;".e40.517"</f>
        <v>Company Code.e40.517</v>
      </c>
      <c r="B1069" s="549">
        <f>'CB40'!$C$424</f>
        <v>0</v>
      </c>
      <c r="C1069" s="549">
        <f>'CB40'!$E$424</f>
        <v>0</v>
      </c>
      <c r="D1069" s="549">
        <f>'CB40'!$G$424</f>
        <v>0</v>
      </c>
    </row>
    <row r="1070" spans="1:5">
      <c r="A1070" s="11" t="str">
        <f>$C$1&amp;".e40.5180101"</f>
        <v>Company Code.e40.5180101</v>
      </c>
      <c r="B1070" s="549">
        <f>'CB40'!$C$429</f>
        <v>0</v>
      </c>
      <c r="C1070" s="549">
        <f>'CB40'!$E$429</f>
        <v>0</v>
      </c>
      <c r="D1070" s="549">
        <f>'CB40'!$G$429</f>
        <v>0</v>
      </c>
    </row>
    <row r="1071" spans="1:5">
      <c r="A1071" s="11" t="str">
        <f>$C$1&amp;".e40.5180102"</f>
        <v>Company Code.e40.5180102</v>
      </c>
      <c r="B1071" s="549">
        <f>'CB40'!$C$430</f>
        <v>0</v>
      </c>
      <c r="C1071" s="549">
        <f>'CB40'!$E$430</f>
        <v>0</v>
      </c>
      <c r="D1071" s="549">
        <f>'CB40'!$G$430</f>
        <v>0</v>
      </c>
    </row>
    <row r="1072" spans="1:5">
      <c r="A1072" s="11" t="str">
        <f>$C$1&amp;".e40.5180103"</f>
        <v>Company Code.e40.5180103</v>
      </c>
      <c r="B1072" s="549">
        <f>'CB40'!$C$431</f>
        <v>0</v>
      </c>
      <c r="C1072" s="549">
        <f>'CB40'!$E$431</f>
        <v>0</v>
      </c>
      <c r="D1072" s="549">
        <f>'CB40'!$G$431</f>
        <v>0</v>
      </c>
    </row>
    <row r="1073" spans="1:5">
      <c r="A1073" s="11" t="str">
        <f>$C$1&amp;".e40.5180104"</f>
        <v>Company Code.e40.5180104</v>
      </c>
      <c r="B1073" s="549">
        <f>'CB40'!$C$432</f>
        <v>0</v>
      </c>
      <c r="C1073" s="549">
        <f>'CB40'!$E$432</f>
        <v>0</v>
      </c>
      <c r="D1073" s="549">
        <f>'CB40'!$G$432</f>
        <v>0</v>
      </c>
    </row>
    <row r="1074" spans="1:5">
      <c r="A1074" s="11" t="str">
        <f>$C$1&amp;".e40.5180105"</f>
        <v>Company Code.e40.5180105</v>
      </c>
      <c r="B1074" s="549">
        <f>'CB40'!$C$433</f>
        <v>0</v>
      </c>
      <c r="C1074" s="549">
        <f>'CB40'!$E$433</f>
        <v>0</v>
      </c>
      <c r="D1074" s="549">
        <f>'CB40'!$G$433</f>
        <v>0</v>
      </c>
    </row>
    <row r="1075" spans="1:5">
      <c r="A1075" s="11" t="str">
        <f>$C$1&amp;".e40.5180106"</f>
        <v>Company Code.e40.5180106</v>
      </c>
      <c r="B1075" s="549">
        <f>'CB40'!$C$434</f>
        <v>0</v>
      </c>
      <c r="C1075" s="549">
        <f>'CB40'!$E$434</f>
        <v>0</v>
      </c>
      <c r="D1075" s="549">
        <f>'CB40'!$G$434</f>
        <v>0</v>
      </c>
    </row>
    <row r="1076" spans="1:5">
      <c r="A1076" s="11" t="s">
        <v>710</v>
      </c>
    </row>
    <row r="1077" spans="1:5">
      <c r="A1077" s="11" t="s">
        <v>834</v>
      </c>
      <c r="B1077" s="500" t="s">
        <v>642</v>
      </c>
      <c r="C1077" s="501" t="s">
        <v>680</v>
      </c>
      <c r="D1077" s="501" t="s">
        <v>681</v>
      </c>
    </row>
    <row r="1078" spans="1:5">
      <c r="A1078" s="11" t="str">
        <f>$C$1&amp;".e40.5180107"</f>
        <v>Company Code.e40.5180107</v>
      </c>
      <c r="B1078" s="549">
        <f>'CB40'!$C$435</f>
        <v>0</v>
      </c>
      <c r="C1078" s="549">
        <f>'CB40'!$E$435</f>
        <v>0</v>
      </c>
      <c r="D1078" s="549">
        <f>'CB40'!$G$435</f>
        <v>0</v>
      </c>
      <c r="E1078" s="549"/>
    </row>
    <row r="1079" spans="1:5">
      <c r="A1079" s="11" t="str">
        <f>$C$1&amp;".e40.5180108"</f>
        <v>Company Code.e40.5180108</v>
      </c>
      <c r="B1079" s="549">
        <f>'CB40'!$C$436</f>
        <v>0</v>
      </c>
      <c r="C1079" s="549">
        <f>'CB40'!$E$436</f>
        <v>0</v>
      </c>
      <c r="D1079" s="549">
        <f>'CB40'!$G$436</f>
        <v>0</v>
      </c>
      <c r="E1079" s="549"/>
    </row>
    <row r="1080" spans="1:5">
      <c r="A1080" s="11" t="str">
        <f>$C$1&amp;".e40.5180109"</f>
        <v>Company Code.e40.5180109</v>
      </c>
      <c r="B1080" s="549">
        <f>'CB40'!$C$437</f>
        <v>0</v>
      </c>
      <c r="C1080" s="549">
        <f>'CB40'!$E$437</f>
        <v>0</v>
      </c>
      <c r="D1080" s="549">
        <f>'CB40'!$G$437</f>
        <v>0</v>
      </c>
      <c r="E1080" s="549"/>
    </row>
    <row r="1081" spans="1:5">
      <c r="A1081" s="11" t="str">
        <f>$C$1&amp;".e40.5180110"</f>
        <v>Company Code.e40.5180110</v>
      </c>
      <c r="B1081" s="549">
        <f>'CB40'!$C$438</f>
        <v>0</v>
      </c>
      <c r="C1081" s="549">
        <f>'CB40'!$E$438</f>
        <v>0</v>
      </c>
      <c r="D1081" s="549">
        <f>'CB40'!$G$438</f>
        <v>0</v>
      </c>
      <c r="E1081" s="549"/>
    </row>
    <row r="1082" spans="1:5">
      <c r="A1082" s="11" t="str">
        <f>$C$1&amp;".e40.5180111"</f>
        <v>Company Code.e40.5180111</v>
      </c>
      <c r="B1082" s="549">
        <f>'CB40'!$C$439</f>
        <v>0</v>
      </c>
      <c r="C1082" s="549">
        <f>'CB40'!$E$439</f>
        <v>0</v>
      </c>
      <c r="D1082" s="549">
        <f>'CB40'!$G$439</f>
        <v>0</v>
      </c>
      <c r="E1082" s="549"/>
    </row>
    <row r="1083" spans="1:5">
      <c r="A1083" s="11" t="str">
        <f>$C$1&amp;".e40.5180112"</f>
        <v>Company Code.e40.5180112</v>
      </c>
      <c r="B1083" s="549">
        <f>'CB40'!$C$440</f>
        <v>0</v>
      </c>
      <c r="C1083" s="549">
        <f>'CB40'!$E$440</f>
        <v>0</v>
      </c>
      <c r="D1083" s="549">
        <f>'CB40'!$G$440</f>
        <v>0</v>
      </c>
      <c r="E1083" s="549"/>
    </row>
    <row r="1084" spans="1:5">
      <c r="A1084" s="11" t="str">
        <f>$C$1&amp;".e40.5180113"</f>
        <v>Company Code.e40.5180113</v>
      </c>
      <c r="B1084" s="549">
        <f>'CB40'!$C$441</f>
        <v>0</v>
      </c>
      <c r="C1084" s="549">
        <f>'CB40'!$E$441</f>
        <v>0</v>
      </c>
      <c r="D1084" s="549">
        <f>'CB40'!$G$441</f>
        <v>0</v>
      </c>
      <c r="E1084" s="549"/>
    </row>
    <row r="1085" spans="1:5">
      <c r="A1085" s="11" t="str">
        <f>$C$1&amp;".e40.5180114"</f>
        <v>Company Code.e40.5180114</v>
      </c>
      <c r="B1085" s="549">
        <f>'CB40'!$C$442</f>
        <v>0</v>
      </c>
      <c r="C1085" s="549">
        <f>'CB40'!$E$442</f>
        <v>0</v>
      </c>
      <c r="D1085" s="549">
        <f>'CB40'!$G$442</f>
        <v>0</v>
      </c>
      <c r="E1085" s="549"/>
    </row>
    <row r="1086" spans="1:5">
      <c r="A1086" s="11" t="str">
        <f>$C$1&amp;".e40.5180115"</f>
        <v>Company Code.e40.5180115</v>
      </c>
      <c r="B1086" s="549">
        <f>'CB40'!$C$443</f>
        <v>0</v>
      </c>
      <c r="C1086" s="549">
        <f>'CB40'!$E$443</f>
        <v>0</v>
      </c>
      <c r="D1086" s="549">
        <f>'CB40'!$G$443</f>
        <v>0</v>
      </c>
      <c r="E1086" s="549"/>
    </row>
    <row r="1087" spans="1:5">
      <c r="A1087" s="11" t="str">
        <f>C1&amp;".e40.51801"</f>
        <v>Company Code.e40.51801</v>
      </c>
      <c r="B1087" s="549">
        <f>'CB40'!$C$444</f>
        <v>0</v>
      </c>
      <c r="C1087" s="549">
        <f>'CB40'!$E$444</f>
        <v>0</v>
      </c>
      <c r="D1087" s="549">
        <f>'CB40'!$G$444</f>
        <v>0</v>
      </c>
    </row>
    <row r="1088" spans="1:5">
      <c r="A1088" s="11" t="str">
        <f>$C$1&amp;".e40.5180201"</f>
        <v>Company Code.e40.5180201</v>
      </c>
      <c r="B1088" s="549">
        <f>'CB40'!$C$447</f>
        <v>0</v>
      </c>
      <c r="C1088" s="549">
        <f>'CB40'!$E$447</f>
        <v>0</v>
      </c>
      <c r="D1088" s="549">
        <f>'CB40'!$G$447</f>
        <v>0</v>
      </c>
    </row>
    <row r="1089" spans="1:4">
      <c r="A1089" s="11" t="str">
        <f>$C$1&amp;".e40.5180202"</f>
        <v>Company Code.e40.5180202</v>
      </c>
      <c r="B1089" s="549">
        <f>'CB40'!$C$448</f>
        <v>0</v>
      </c>
      <c r="C1089" s="549">
        <f>'CB40'!$E$448</f>
        <v>0</v>
      </c>
      <c r="D1089" s="549">
        <f>'CB40'!$G$448</f>
        <v>0</v>
      </c>
    </row>
    <row r="1090" spans="1:4">
      <c r="A1090" s="11" t="str">
        <f>$C$1&amp;".e40.5180203"</f>
        <v>Company Code.e40.5180203</v>
      </c>
      <c r="B1090" s="549">
        <f>'CB40'!$C$449</f>
        <v>0</v>
      </c>
      <c r="C1090" s="549">
        <f>'CB40'!$E$449</f>
        <v>0</v>
      </c>
      <c r="D1090" s="549">
        <f>'CB40'!$G$449</f>
        <v>0</v>
      </c>
    </row>
    <row r="1091" spans="1:4">
      <c r="A1091" s="11" t="str">
        <f>$C$1&amp;".e40.5180204"</f>
        <v>Company Code.e40.5180204</v>
      </c>
      <c r="B1091" s="549">
        <f>'CB40'!$C$450</f>
        <v>0</v>
      </c>
      <c r="C1091" s="549">
        <f>'CB40'!$E$450</f>
        <v>0</v>
      </c>
      <c r="D1091" s="549">
        <f>'CB40'!$G$450</f>
        <v>0</v>
      </c>
    </row>
    <row r="1092" spans="1:4">
      <c r="A1092" s="11" t="str">
        <f>$C$1&amp;".e40.5180205"</f>
        <v>Company Code.e40.5180205</v>
      </c>
      <c r="B1092" s="549">
        <f>'CB40'!$C$451</f>
        <v>0</v>
      </c>
      <c r="C1092" s="549">
        <f>'CB40'!$E$451</f>
        <v>0</v>
      </c>
      <c r="D1092" s="549">
        <f>'CB40'!$G$451</f>
        <v>0</v>
      </c>
    </row>
    <row r="1093" spans="1:4" ht="13.5" customHeight="1">
      <c r="A1093" s="11" t="str">
        <f>$C$1&amp;".e40.5180206"</f>
        <v>Company Code.e40.5180206</v>
      </c>
      <c r="B1093" s="549">
        <f>'CB40'!$C$452</f>
        <v>0</v>
      </c>
      <c r="C1093" s="549">
        <f>'CB40'!$E$452</f>
        <v>0</v>
      </c>
      <c r="D1093" s="549">
        <f>'CB40'!$G$452</f>
        <v>0</v>
      </c>
    </row>
    <row r="1094" spans="1:4">
      <c r="A1094" s="11" t="str">
        <f>$C$1&amp;".e40.5180207"</f>
        <v>Company Code.e40.5180207</v>
      </c>
      <c r="B1094" s="549">
        <f>'CB40'!$C$453</f>
        <v>0</v>
      </c>
      <c r="C1094" s="549">
        <f>'CB40'!$E$453</f>
        <v>0</v>
      </c>
      <c r="D1094" s="549">
        <f>'CB40'!$G$453</f>
        <v>0</v>
      </c>
    </row>
    <row r="1095" spans="1:4">
      <c r="A1095" s="11" t="str">
        <f>C1&amp;".e40.51802"</f>
        <v>Company Code.e40.51802</v>
      </c>
      <c r="B1095" s="549">
        <f>'CB40'!$C$454</f>
        <v>0</v>
      </c>
      <c r="C1095" s="549">
        <f>'CB40'!$E$454</f>
        <v>0</v>
      </c>
      <c r="D1095" s="549">
        <f>'CB40'!$G$454</f>
        <v>0</v>
      </c>
    </row>
    <row r="1096" spans="1:4">
      <c r="A1096" s="11" t="str">
        <f>C1&amp;".e40.518"</f>
        <v>Company Code.e40.518</v>
      </c>
      <c r="B1096" s="549">
        <f>'CB40'!$C$456</f>
        <v>0</v>
      </c>
      <c r="C1096" s="549">
        <f>'CB40'!$E$456</f>
        <v>0</v>
      </c>
      <c r="D1096" s="549">
        <f>'CB40'!$G$456</f>
        <v>0</v>
      </c>
    </row>
    <row r="1097" spans="1:4">
      <c r="A1097" s="11" t="s">
        <v>785</v>
      </c>
      <c r="B1097" s="500" t="s">
        <v>642</v>
      </c>
    </row>
    <row r="1098" spans="1:4">
      <c r="A1098" s="550" t="str">
        <f>C1&amp;".e20.stat_fnd_lt_oth_pol_liability"</f>
        <v>Company Code.e20.stat_fnd_lt_oth_pol_liability</v>
      </c>
      <c r="B1098" s="559">
        <f>'Stat Fund-LT'!$C$26</f>
        <v>0</v>
      </c>
    </row>
    <row r="1099" spans="1:4">
      <c r="A1099" s="550" t="str">
        <f>C1&amp;".e20.stat_fnd_lt_pct_npi"</f>
        <v>Company Code.e20.stat_fnd_lt_pct_npi</v>
      </c>
      <c r="B1099" s="559">
        <f>'Stat Fund-LT'!$C$39</f>
        <v>0</v>
      </c>
    </row>
    <row r="1100" spans="1:4">
      <c r="A1100" s="550" t="str">
        <f>C1&amp;".e20.stat_fnd_lt_oth_pol_asst"</f>
        <v>Company Code.e20.stat_fnd_lt_oth_pol_asst</v>
      </c>
      <c r="B1100" s="559">
        <f>'Stat Fund-LT'!$C$41</f>
        <v>0</v>
      </c>
    </row>
    <row r="1101" spans="1:4">
      <c r="A1101" s="550" t="str">
        <f>C1&amp;".e20.stat_fnd_lt_value_stat"</f>
        <v>Company Code.e20.stat_fnd_lt_value_stat</v>
      </c>
      <c r="B1101" s="559">
        <f>'Stat Fund-LT'!$C$51</f>
        <v>0</v>
      </c>
    </row>
    <row r="1102" spans="1:4">
      <c r="A1102" s="550" t="str">
        <f>C1&amp;".e20.stat_fnd_motr_oth_pol_liability"</f>
        <v>Company Code.e20.stat_fnd_motr_oth_pol_liability</v>
      </c>
      <c r="B1102" s="559">
        <f>'Stat Fund-MV'!$C$9</f>
        <v>0</v>
      </c>
    </row>
    <row r="1103" spans="1:4">
      <c r="A1103" s="550" t="str">
        <f>C1&amp;".e20.stat_fnd_motr_pct_npi"</f>
        <v>Company Code.e20.stat_fnd_motr_pct_npi</v>
      </c>
      <c r="B1103" s="559">
        <f>'Stat Fund-MV'!$C$19</f>
        <v>0</v>
      </c>
    </row>
    <row r="1104" spans="1:4">
      <c r="A1104" s="550" t="str">
        <f>C1&amp;".e20.stat_fnd_motr_oth_pol_asst"</f>
        <v>Company Code.e20.stat_fnd_motr_oth_pol_asst</v>
      </c>
      <c r="B1104" s="559">
        <f>'Stat Fund-MV'!$C$21</f>
        <v>0</v>
      </c>
    </row>
    <row r="1105" spans="1:2">
      <c r="A1105" s="550" t="str">
        <f>C1&amp;".e20.stat_fnd_motr_value_sec"</f>
        <v>Company Code.e20.stat_fnd_motr_value_sec</v>
      </c>
      <c r="B1105" s="559">
        <f>'Stat Fund-MV'!$C$30</f>
        <v>0</v>
      </c>
    </row>
    <row r="1106" spans="1:2">
      <c r="A1106" s="550" t="str">
        <f>C1&amp;".e20.stat_fnd_motr_value_stat"</f>
        <v>Company Code.e20.stat_fnd_motr_value_stat</v>
      </c>
      <c r="B1106" s="559">
        <f>'Stat Fund-MV'!$C$35</f>
        <v>0</v>
      </c>
    </row>
    <row r="1107" spans="1:2">
      <c r="A1107" s="550" t="str">
        <f>C1&amp;".e20.stat_dep_oth_total_npi"</f>
        <v>Company Code.e20.stat_dep_oth_total_npi</v>
      </c>
      <c r="B1107" s="559">
        <f>'Stat Deposit'!$C$5</f>
        <v>0</v>
      </c>
    </row>
    <row r="1108" spans="1:2">
      <c r="A1108" s="550" t="str">
        <f>C1&amp;".e20.stat_dep_pct_motor_npi"</f>
        <v>Company Code.e20.stat_dep_pct_motor_npi</v>
      </c>
      <c r="B1108" s="559">
        <f>'Stat Deposit'!$C$9</f>
        <v>0</v>
      </c>
    </row>
    <row r="1109" spans="1:2">
      <c r="A1109" s="550" t="str">
        <f>C1&amp;".e20.stat_dep_value_stat"</f>
        <v>Company Code.e20.stat_dep_value_stat</v>
      </c>
      <c r="B1109" s="559">
        <f>'Stat Deposit'!$C$14</f>
        <v>0</v>
      </c>
    </row>
  </sheetData>
  <sheetProtection selectLockedCells="1" selectUnlockedCells="1"/>
  <autoFilter ref="A1:I1109"/>
  <mergeCells count="2">
    <mergeCell ref="C3:D3"/>
    <mergeCell ref="E3:F3"/>
  </mergeCells>
  <phoneticPr fontId="13" type="noConversion"/>
  <pageMargins left="0.75" right="0.43" top="0.51" bottom="0.48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39"/>
  <sheetViews>
    <sheetView workbookViewId="0">
      <selection activeCell="H17" sqref="H17"/>
    </sheetView>
  </sheetViews>
  <sheetFormatPr defaultRowHeight="12.75"/>
  <sheetData>
    <row r="5" spans="3:3">
      <c r="C5" s="495" t="s">
        <v>910</v>
      </c>
    </row>
    <row r="6" spans="3:3">
      <c r="C6" s="495" t="s">
        <v>911</v>
      </c>
    </row>
    <row r="7" spans="3:3">
      <c r="C7" s="495" t="s">
        <v>914</v>
      </c>
    </row>
    <row r="8" spans="3:3">
      <c r="C8" s="495" t="s">
        <v>913</v>
      </c>
    </row>
    <row r="9" spans="3:3">
      <c r="C9" s="495" t="s">
        <v>912</v>
      </c>
    </row>
    <row r="10" spans="3:3">
      <c r="C10" s="495" t="s">
        <v>918</v>
      </c>
    </row>
    <row r="11" spans="3:3">
      <c r="C11" s="495" t="s">
        <v>909</v>
      </c>
    </row>
    <row r="12" spans="3:3">
      <c r="C12" s="495" t="s">
        <v>919</v>
      </c>
    </row>
    <row r="13" spans="3:3">
      <c r="C13" s="793" t="s">
        <v>1195</v>
      </c>
    </row>
    <row r="14" spans="3:3">
      <c r="C14" s="793" t="s">
        <v>1196</v>
      </c>
    </row>
    <row r="15" spans="3:3">
      <c r="C15" s="793" t="s">
        <v>1197</v>
      </c>
    </row>
    <row r="16" spans="3:3">
      <c r="C16" s="495" t="s">
        <v>920</v>
      </c>
    </row>
    <row r="17" spans="3:3">
      <c r="C17" s="495" t="s">
        <v>921</v>
      </c>
    </row>
    <row r="18" spans="3:3">
      <c r="C18" s="495" t="s">
        <v>922</v>
      </c>
    </row>
    <row r="19" spans="3:3">
      <c r="C19" s="495" t="s">
        <v>923</v>
      </c>
    </row>
    <row r="22" spans="3:3">
      <c r="C22" s="495" t="s">
        <v>910</v>
      </c>
    </row>
    <row r="23" spans="3:3">
      <c r="C23" s="495" t="s">
        <v>911</v>
      </c>
    </row>
    <row r="24" spans="3:3">
      <c r="C24" s="495" t="s">
        <v>914</v>
      </c>
    </row>
    <row r="25" spans="3:3">
      <c r="C25" s="495" t="s">
        <v>913</v>
      </c>
    </row>
    <row r="26" spans="3:3">
      <c r="C26" s="495" t="s">
        <v>912</v>
      </c>
    </row>
    <row r="27" spans="3:3">
      <c r="C27" s="495" t="s">
        <v>918</v>
      </c>
    </row>
    <row r="28" spans="3:3">
      <c r="C28" s="495" t="s">
        <v>915</v>
      </c>
    </row>
    <row r="29" spans="3:3">
      <c r="C29" s="495" t="s">
        <v>916</v>
      </c>
    </row>
    <row r="30" spans="3:3">
      <c r="C30" s="495" t="s">
        <v>917</v>
      </c>
    </row>
    <row r="31" spans="3:3">
      <c r="C31" s="495" t="s">
        <v>909</v>
      </c>
    </row>
    <row r="32" spans="3:3">
      <c r="C32" s="495" t="s">
        <v>919</v>
      </c>
    </row>
    <row r="33" spans="3:3">
      <c r="C33" s="793" t="s">
        <v>1195</v>
      </c>
    </row>
    <row r="34" spans="3:3">
      <c r="C34" s="793" t="s">
        <v>1196</v>
      </c>
    </row>
    <row r="35" spans="3:3">
      <c r="C35" s="793" t="s">
        <v>1197</v>
      </c>
    </row>
    <row r="36" spans="3:3">
      <c r="C36" s="495" t="s">
        <v>920</v>
      </c>
    </row>
    <row r="37" spans="3:3">
      <c r="C37" s="495" t="s">
        <v>921</v>
      </c>
    </row>
    <row r="38" spans="3:3">
      <c r="C38" s="495" t="s">
        <v>922</v>
      </c>
    </row>
    <row r="39" spans="3:3">
      <c r="C39" s="495" t="s">
        <v>923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06"/>
  <sheetViews>
    <sheetView zoomScaleNormal="100" zoomScaleSheetLayoutView="75" workbookViewId="0">
      <selection activeCell="A5" sqref="A5"/>
    </sheetView>
  </sheetViews>
  <sheetFormatPr defaultColWidth="11" defaultRowHeight="12.75"/>
  <cols>
    <col min="1" max="1" width="62.5703125" style="97" customWidth="1"/>
    <col min="2" max="2" width="17.28515625" style="97" customWidth="1"/>
    <col min="3" max="3" width="1" style="147" customWidth="1"/>
    <col min="4" max="4" width="17.28515625" style="173" customWidth="1"/>
    <col min="5" max="5" width="1" style="147" customWidth="1"/>
    <col min="6" max="6" width="17.28515625" style="173" customWidth="1"/>
    <col min="7" max="7" width="1" style="147" customWidth="1"/>
    <col min="8" max="8" width="17.28515625" style="173" customWidth="1"/>
    <col min="9" max="9" width="1" style="147" customWidth="1"/>
    <col min="10" max="10" width="17.28515625" style="173" customWidth="1"/>
    <col min="11" max="16384" width="11" style="97"/>
  </cols>
  <sheetData>
    <row r="1" spans="1:14">
      <c r="A1" s="93" t="str">
        <f>[0]!Name</f>
        <v xml:space="preserve"> SELECT INSURANCE COMPANY</v>
      </c>
      <c r="B1" s="651"/>
      <c r="C1" s="203"/>
      <c r="D1" s="94"/>
      <c r="E1" s="203"/>
      <c r="F1" s="95"/>
      <c r="G1" s="203"/>
      <c r="H1" s="652"/>
      <c r="I1" s="203"/>
      <c r="J1" s="94"/>
    </row>
    <row r="2" spans="1:14">
      <c r="A2" s="96" t="s">
        <v>8</v>
      </c>
      <c r="B2" s="11"/>
      <c r="C2" s="11"/>
      <c r="D2" s="11"/>
      <c r="E2" s="11"/>
      <c r="F2" s="11"/>
      <c r="G2" s="11"/>
      <c r="H2" s="11"/>
      <c r="I2" s="11"/>
      <c r="J2" s="11"/>
    </row>
    <row r="3" spans="1:14">
      <c r="A3" s="537">
        <f>Cover!reportdate</f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4">
      <c r="A4" s="5" t="s">
        <v>1245</v>
      </c>
      <c r="B4" s="98"/>
      <c r="C4" s="98" t="s">
        <v>825</v>
      </c>
      <c r="D4" s="99"/>
      <c r="E4" s="118"/>
      <c r="F4" s="98"/>
      <c r="G4" s="98"/>
      <c r="H4" s="94"/>
      <c r="I4" s="98"/>
      <c r="J4" s="100"/>
      <c r="K4" s="164"/>
      <c r="L4" s="164"/>
      <c r="M4" s="164"/>
      <c r="N4" s="164"/>
    </row>
    <row r="5" spans="1:14" s="189" customFormat="1" ht="12.75" customHeight="1">
      <c r="A5" s="101"/>
      <c r="B5" s="825" t="s">
        <v>9</v>
      </c>
      <c r="C5" s="98"/>
      <c r="D5" s="831" t="s">
        <v>10</v>
      </c>
      <c r="E5" s="832"/>
      <c r="F5" s="833"/>
      <c r="G5" s="98"/>
      <c r="H5" s="831" t="s">
        <v>11</v>
      </c>
      <c r="I5" s="832"/>
      <c r="J5" s="833"/>
    </row>
    <row r="6" spans="1:14" ht="25.5">
      <c r="A6" s="102" t="s">
        <v>12</v>
      </c>
      <c r="B6" s="830"/>
      <c r="C6" s="563"/>
      <c r="D6" s="103" t="s">
        <v>13</v>
      </c>
      <c r="E6" s="564"/>
      <c r="F6" s="104" t="s">
        <v>17</v>
      </c>
      <c r="G6" s="563"/>
      <c r="H6" s="103" t="s">
        <v>13</v>
      </c>
      <c r="I6" s="564"/>
      <c r="J6" s="104" t="s">
        <v>17</v>
      </c>
      <c r="K6" s="164"/>
      <c r="L6" s="164"/>
      <c r="M6" s="164"/>
    </row>
    <row r="7" spans="1:14" s="164" customFormat="1" ht="12.75" customHeight="1">
      <c r="A7" s="105" t="s">
        <v>18</v>
      </c>
      <c r="B7" s="106">
        <f t="shared" ref="B7:B14" si="0">D7+F7+H7+J7</f>
        <v>0</v>
      </c>
      <c r="C7" s="565"/>
      <c r="D7" s="107">
        <f>D74</f>
        <v>0</v>
      </c>
      <c r="E7" s="108"/>
      <c r="F7" s="109">
        <f>F74</f>
        <v>0</v>
      </c>
      <c r="G7" s="108"/>
      <c r="H7" s="107">
        <f>H74</f>
        <v>0</v>
      </c>
      <c r="I7" s="108"/>
      <c r="J7" s="109">
        <f>J74</f>
        <v>0</v>
      </c>
    </row>
    <row r="8" spans="1:14" ht="12.75" customHeight="1">
      <c r="A8" s="105" t="s">
        <v>19</v>
      </c>
      <c r="B8" s="106">
        <f t="shared" si="0"/>
        <v>0</v>
      </c>
      <c r="C8" s="565"/>
      <c r="D8" s="107">
        <f>D141</f>
        <v>0</v>
      </c>
      <c r="E8" s="108"/>
      <c r="F8" s="110">
        <f>F141</f>
        <v>0</v>
      </c>
      <c r="G8" s="108"/>
      <c r="H8" s="107">
        <f>H141</f>
        <v>0</v>
      </c>
      <c r="I8" s="108"/>
      <c r="J8" s="110">
        <f>J141</f>
        <v>0</v>
      </c>
      <c r="K8" s="164"/>
      <c r="L8" s="164"/>
      <c r="M8" s="164"/>
    </row>
    <row r="9" spans="1:14" ht="12.75" customHeight="1">
      <c r="A9" s="105" t="s">
        <v>20</v>
      </c>
      <c r="B9" s="106">
        <f t="shared" si="0"/>
        <v>0</v>
      </c>
      <c r="C9" s="565"/>
      <c r="D9" s="107">
        <f>D182</f>
        <v>0</v>
      </c>
      <c r="E9" s="111"/>
      <c r="F9" s="107">
        <f>F182</f>
        <v>0</v>
      </c>
      <c r="G9" s="108"/>
      <c r="H9" s="107">
        <f>H182</f>
        <v>0</v>
      </c>
      <c r="I9" s="111"/>
      <c r="J9" s="107">
        <f>J182</f>
        <v>0</v>
      </c>
      <c r="K9" s="164"/>
      <c r="L9" s="164"/>
      <c r="M9" s="164"/>
    </row>
    <row r="10" spans="1:14" ht="12.75" customHeight="1">
      <c r="A10" s="105" t="s">
        <v>21</v>
      </c>
      <c r="B10" s="106">
        <f t="shared" si="0"/>
        <v>0</v>
      </c>
      <c r="C10" s="565"/>
      <c r="D10" s="107">
        <f>D221</f>
        <v>0</v>
      </c>
      <c r="E10" s="111"/>
      <c r="F10" s="107">
        <f>F221</f>
        <v>0</v>
      </c>
      <c r="G10" s="108"/>
      <c r="H10" s="107">
        <f>H221</f>
        <v>0</v>
      </c>
      <c r="I10" s="111"/>
      <c r="J10" s="107">
        <f>J221</f>
        <v>0</v>
      </c>
      <c r="K10" s="164"/>
      <c r="L10" s="164"/>
      <c r="M10" s="164"/>
    </row>
    <row r="11" spans="1:14" ht="12.75" customHeight="1">
      <c r="A11" s="105" t="s">
        <v>22</v>
      </c>
      <c r="B11" s="106">
        <f t="shared" si="0"/>
        <v>0</v>
      </c>
      <c r="C11" s="565"/>
      <c r="D11" s="107">
        <f>D268</f>
        <v>0</v>
      </c>
      <c r="E11" s="111"/>
      <c r="F11" s="107">
        <f>F268</f>
        <v>0</v>
      </c>
      <c r="G11" s="108"/>
      <c r="H11" s="107">
        <f>H268</f>
        <v>0</v>
      </c>
      <c r="I11" s="111"/>
      <c r="J11" s="107">
        <f>J268</f>
        <v>0</v>
      </c>
    </row>
    <row r="12" spans="1:14" ht="12.75" customHeight="1">
      <c r="A12" s="105" t="s">
        <v>23</v>
      </c>
      <c r="B12" s="106">
        <f t="shared" si="0"/>
        <v>0</v>
      </c>
      <c r="C12" s="565"/>
      <c r="D12" s="107">
        <f>D281</f>
        <v>0</v>
      </c>
      <c r="E12" s="111"/>
      <c r="F12" s="107">
        <f>F281</f>
        <v>0</v>
      </c>
      <c r="G12" s="112"/>
      <c r="H12" s="107">
        <f>H281</f>
        <v>0</v>
      </c>
      <c r="I12" s="111"/>
      <c r="J12" s="107">
        <f>J281</f>
        <v>0</v>
      </c>
    </row>
    <row r="13" spans="1:14" ht="12.75" customHeight="1">
      <c r="A13" s="105" t="s">
        <v>843</v>
      </c>
      <c r="B13" s="113">
        <f t="shared" si="0"/>
        <v>0</v>
      </c>
      <c r="C13" s="565"/>
      <c r="D13" s="107">
        <f>D302</f>
        <v>0</v>
      </c>
      <c r="E13" s="108"/>
      <c r="F13" s="107">
        <f>F302</f>
        <v>0</v>
      </c>
      <c r="G13" s="114"/>
      <c r="H13" s="107">
        <f>H302</f>
        <v>0</v>
      </c>
      <c r="I13" s="108"/>
      <c r="J13" s="107">
        <f>J302</f>
        <v>0</v>
      </c>
    </row>
    <row r="14" spans="1:14" ht="12.75" customHeight="1" thickBot="1">
      <c r="A14" s="102" t="s">
        <v>24</v>
      </c>
      <c r="B14" s="115">
        <f t="shared" si="0"/>
        <v>0</v>
      </c>
      <c r="C14" s="98"/>
      <c r="D14" s="116">
        <f>SUM(D7:D13)</f>
        <v>0</v>
      </c>
      <c r="E14" s="108"/>
      <c r="F14" s="116">
        <f>SUM(F7:F13)</f>
        <v>0</v>
      </c>
      <c r="G14" s="108"/>
      <c r="H14" s="116">
        <f>SUM(H7:H13)</f>
        <v>0</v>
      </c>
      <c r="I14" s="108"/>
      <c r="J14" s="116">
        <f>SUM(J7:J13)</f>
        <v>0</v>
      </c>
    </row>
    <row r="15" spans="1:14" ht="12.75" customHeight="1" thickTop="1">
      <c r="A15" s="102"/>
      <c r="B15" s="117"/>
      <c r="C15" s="98"/>
      <c r="D15" s="117"/>
      <c r="E15" s="98"/>
      <c r="F15" s="117"/>
      <c r="G15" s="98"/>
      <c r="H15" s="117"/>
      <c r="I15" s="98"/>
      <c r="J15" s="117"/>
    </row>
    <row r="16" spans="1:14" ht="12.75" customHeight="1">
      <c r="B16" s="118" t="s">
        <v>825</v>
      </c>
      <c r="C16" s="566"/>
      <c r="D16" s="118" t="s">
        <v>825</v>
      </c>
      <c r="E16" s="98"/>
      <c r="F16" s="118" t="s">
        <v>25</v>
      </c>
      <c r="G16" s="566"/>
      <c r="H16" s="118" t="s">
        <v>825</v>
      </c>
      <c r="I16" s="98"/>
      <c r="J16" s="118" t="s">
        <v>25</v>
      </c>
    </row>
    <row r="17" spans="1:10" ht="12.75" customHeight="1">
      <c r="B17" s="825" t="s">
        <v>9</v>
      </c>
      <c r="C17" s="98"/>
      <c r="D17" s="831" t="s">
        <v>10</v>
      </c>
      <c r="E17" s="832"/>
      <c r="F17" s="833"/>
      <c r="G17" s="98"/>
      <c r="H17" s="831" t="s">
        <v>11</v>
      </c>
      <c r="I17" s="832"/>
      <c r="J17" s="833"/>
    </row>
    <row r="18" spans="1:10" ht="24.75" customHeight="1">
      <c r="A18" s="102" t="s">
        <v>26</v>
      </c>
      <c r="B18" s="830"/>
      <c r="C18" s="563"/>
      <c r="D18" s="103" t="s">
        <v>13</v>
      </c>
      <c r="E18" s="564"/>
      <c r="F18" s="104" t="s">
        <v>17</v>
      </c>
      <c r="G18" s="563"/>
      <c r="H18" s="103" t="s">
        <v>13</v>
      </c>
      <c r="I18" s="564"/>
      <c r="J18" s="104" t="s">
        <v>17</v>
      </c>
    </row>
    <row r="19" spans="1:10" ht="12.75" customHeight="1">
      <c r="A19" s="105" t="s">
        <v>848</v>
      </c>
      <c r="B19" s="119">
        <f t="shared" ref="B19:B25" si="1">D19+F19+H19+J19</f>
        <v>0</v>
      </c>
      <c r="C19" s="102"/>
      <c r="D19" s="119">
        <f>D356</f>
        <v>0</v>
      </c>
      <c r="E19" s="108"/>
      <c r="F19" s="119">
        <f>F356</f>
        <v>0</v>
      </c>
      <c r="G19" s="108"/>
      <c r="H19" s="119">
        <f>H356</f>
        <v>0</v>
      </c>
      <c r="I19" s="108"/>
      <c r="J19" s="119">
        <f>J356</f>
        <v>0</v>
      </c>
    </row>
    <row r="20" spans="1:10" ht="12.75" customHeight="1">
      <c r="A20" s="105" t="s">
        <v>849</v>
      </c>
      <c r="B20" s="119">
        <f t="shared" si="1"/>
        <v>0</v>
      </c>
      <c r="C20" s="102"/>
      <c r="D20" s="119">
        <f>D370</f>
        <v>0</v>
      </c>
      <c r="E20" s="108"/>
      <c r="F20" s="119">
        <f>F370</f>
        <v>0</v>
      </c>
      <c r="G20" s="108"/>
      <c r="H20" s="119">
        <f>H370</f>
        <v>0</v>
      </c>
      <c r="I20" s="108"/>
      <c r="J20" s="119">
        <f>J370</f>
        <v>0</v>
      </c>
    </row>
    <row r="21" spans="1:10" ht="12.75" customHeight="1">
      <c r="A21" s="105" t="s">
        <v>850</v>
      </c>
      <c r="B21" s="119">
        <f t="shared" si="1"/>
        <v>0</v>
      </c>
      <c r="C21" s="102"/>
      <c r="D21" s="119">
        <f>D388</f>
        <v>0</v>
      </c>
      <c r="E21" s="108"/>
      <c r="F21" s="119">
        <f>F388</f>
        <v>0</v>
      </c>
      <c r="G21" s="108"/>
      <c r="H21" s="119">
        <f>H388</f>
        <v>0</v>
      </c>
      <c r="I21" s="108"/>
      <c r="J21" s="119">
        <f>J388</f>
        <v>0</v>
      </c>
    </row>
    <row r="22" spans="1:10" ht="12.75" customHeight="1">
      <c r="A22" s="105" t="s">
        <v>27</v>
      </c>
      <c r="B22" s="120">
        <f t="shared" si="1"/>
        <v>0</v>
      </c>
      <c r="C22" s="105"/>
      <c r="D22" s="110">
        <f>D400</f>
        <v>0</v>
      </c>
      <c r="E22" s="108"/>
      <c r="F22" s="110">
        <f>F400</f>
        <v>0</v>
      </c>
      <c r="G22" s="114"/>
      <c r="H22" s="110">
        <f>H400</f>
        <v>0</v>
      </c>
      <c r="I22" s="108"/>
      <c r="J22" s="110">
        <f>J400</f>
        <v>0</v>
      </c>
    </row>
    <row r="23" spans="1:10">
      <c r="A23" s="105" t="s">
        <v>1198</v>
      </c>
      <c r="B23" s="121">
        <f t="shared" si="1"/>
        <v>0</v>
      </c>
      <c r="C23" s="105"/>
      <c r="D23" s="110">
        <f>D424</f>
        <v>0</v>
      </c>
      <c r="E23" s="108"/>
      <c r="F23" s="110">
        <f>F424</f>
        <v>0</v>
      </c>
      <c r="G23" s="114"/>
      <c r="H23" s="110">
        <f>H424</f>
        <v>0</v>
      </c>
      <c r="I23" s="108"/>
      <c r="J23" s="110">
        <f>J424</f>
        <v>0</v>
      </c>
    </row>
    <row r="24" spans="1:10">
      <c r="A24" s="105" t="s">
        <v>28</v>
      </c>
      <c r="B24" s="122">
        <f t="shared" si="1"/>
        <v>0</v>
      </c>
      <c r="C24" s="105"/>
      <c r="D24" s="111">
        <f>D441</f>
        <v>0</v>
      </c>
      <c r="E24" s="108"/>
      <c r="F24" s="111">
        <f>F441</f>
        <v>0</v>
      </c>
      <c r="G24" s="108"/>
      <c r="H24" s="111">
        <f>H441</f>
        <v>0</v>
      </c>
      <c r="I24" s="108"/>
      <c r="J24" s="111">
        <f>J441</f>
        <v>0</v>
      </c>
    </row>
    <row r="25" spans="1:10" ht="13.5" thickBot="1">
      <c r="A25" s="102" t="s">
        <v>29</v>
      </c>
      <c r="B25" s="123">
        <f t="shared" si="1"/>
        <v>0</v>
      </c>
      <c r="C25" s="101"/>
      <c r="D25" s="123">
        <f>SUM(D19:D24)</f>
        <v>0</v>
      </c>
      <c r="E25" s="124"/>
      <c r="F25" s="123">
        <f>SUM(F19:F24)</f>
        <v>0</v>
      </c>
      <c r="G25" s="124"/>
      <c r="H25" s="123">
        <f>SUM(H19:H24)</f>
        <v>0</v>
      </c>
      <c r="I25" s="124"/>
      <c r="J25" s="123">
        <f>SUM(J19:J24)</f>
        <v>0</v>
      </c>
    </row>
    <row r="26" spans="1:10" ht="13.5" thickTop="1">
      <c r="A26" s="101"/>
      <c r="B26" s="98"/>
      <c r="C26" s="98"/>
      <c r="D26" s="98"/>
      <c r="E26" s="98"/>
      <c r="F26" s="98"/>
      <c r="G26" s="98"/>
      <c r="H26" s="98"/>
      <c r="I26" s="98"/>
      <c r="J26" s="98"/>
    </row>
    <row r="27" spans="1:10">
      <c r="A27" s="101"/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13.5" thickBot="1">
      <c r="A28" s="102" t="s">
        <v>30</v>
      </c>
      <c r="B28" s="116">
        <f>D28+F28+H28+J28</f>
        <v>0</v>
      </c>
      <c r="C28" s="101"/>
      <c r="D28" s="116">
        <f>D14-D25</f>
        <v>0</v>
      </c>
      <c r="E28" s="108"/>
      <c r="F28" s="116">
        <f>F14-F25</f>
        <v>0</v>
      </c>
      <c r="G28" s="108"/>
      <c r="H28" s="116">
        <f>H14-H25</f>
        <v>0</v>
      </c>
      <c r="I28" s="108"/>
      <c r="J28" s="116">
        <f>J14-J25</f>
        <v>0</v>
      </c>
    </row>
    <row r="29" spans="1:10" ht="13.5" thickTop="1">
      <c r="A29" s="101"/>
      <c r="B29" s="98"/>
      <c r="C29" s="98"/>
      <c r="D29" s="99"/>
      <c r="E29" s="98"/>
      <c r="F29" s="98"/>
      <c r="G29" s="98"/>
      <c r="H29" s="98"/>
      <c r="I29" s="98"/>
      <c r="J29" s="98"/>
    </row>
    <row r="30" spans="1:10">
      <c r="A30" s="101"/>
      <c r="B30" s="98"/>
      <c r="C30" s="98"/>
      <c r="D30" s="99"/>
      <c r="E30" s="98"/>
      <c r="F30" s="98"/>
      <c r="G30" s="98"/>
      <c r="H30" s="98"/>
      <c r="I30" s="98"/>
      <c r="J30" s="125"/>
    </row>
    <row r="31" spans="1:10" ht="13.5">
      <c r="A31" s="101"/>
      <c r="B31" s="825" t="s">
        <v>9</v>
      </c>
      <c r="C31" s="98"/>
      <c r="D31" s="126" t="s">
        <v>10</v>
      </c>
      <c r="E31" s="567"/>
      <c r="F31" s="127"/>
      <c r="G31" s="98"/>
      <c r="H31" s="831" t="s">
        <v>11</v>
      </c>
      <c r="I31" s="832"/>
      <c r="J31" s="833"/>
    </row>
    <row r="32" spans="1:10" ht="25.5">
      <c r="A32" s="102" t="s">
        <v>31</v>
      </c>
      <c r="B32" s="830"/>
      <c r="C32" s="563"/>
      <c r="D32" s="128" t="s">
        <v>32</v>
      </c>
      <c r="E32" s="568"/>
      <c r="F32" s="129" t="s">
        <v>33</v>
      </c>
      <c r="G32" s="563"/>
      <c r="H32" s="103" t="s">
        <v>13</v>
      </c>
      <c r="I32" s="564"/>
      <c r="J32" s="104" t="s">
        <v>17</v>
      </c>
    </row>
    <row r="33" spans="1:10" ht="13.5" thickBot="1">
      <c r="A33" s="130" t="s">
        <v>34</v>
      </c>
      <c r="B33" s="131">
        <f t="shared" ref="B33:B44" si="2">D33+F33+H33+J33</f>
        <v>0</v>
      </c>
      <c r="C33" s="101"/>
      <c r="D33" s="131">
        <f>D34+D35</f>
        <v>0</v>
      </c>
      <c r="E33" s="132"/>
      <c r="F33" s="131">
        <f>F34+F35</f>
        <v>0</v>
      </c>
      <c r="G33" s="132"/>
      <c r="H33" s="131">
        <f>H34+H35</f>
        <v>0</v>
      </c>
      <c r="I33" s="132"/>
      <c r="J33" s="131">
        <f>J34+J35</f>
        <v>0</v>
      </c>
    </row>
    <row r="34" spans="1:10">
      <c r="A34" s="105" t="s">
        <v>35</v>
      </c>
      <c r="B34" s="121">
        <f t="shared" si="2"/>
        <v>0</v>
      </c>
      <c r="C34" s="101"/>
      <c r="D34" s="569"/>
      <c r="E34" s="132"/>
      <c r="F34" s="569"/>
      <c r="G34" s="132"/>
      <c r="H34" s="569"/>
      <c r="I34" s="132"/>
      <c r="J34" s="569"/>
    </row>
    <row r="35" spans="1:10">
      <c r="A35" s="105" t="s">
        <v>36</v>
      </c>
      <c r="B35" s="133">
        <f t="shared" si="2"/>
        <v>0</v>
      </c>
      <c r="C35" s="101"/>
      <c r="D35" s="133">
        <f>D36+D37+D38</f>
        <v>0</v>
      </c>
      <c r="E35" s="132"/>
      <c r="F35" s="133">
        <f>F36+F37+F38</f>
        <v>0</v>
      </c>
      <c r="G35" s="132"/>
      <c r="H35" s="133">
        <f>H36+H37+H38</f>
        <v>0</v>
      </c>
      <c r="I35" s="132"/>
      <c r="J35" s="133">
        <f>J36+J37+J38</f>
        <v>0</v>
      </c>
    </row>
    <row r="36" spans="1:10">
      <c r="A36" s="105" t="s">
        <v>37</v>
      </c>
      <c r="B36" s="111">
        <f t="shared" si="2"/>
        <v>0</v>
      </c>
      <c r="C36" s="105"/>
      <c r="D36" s="570"/>
      <c r="E36" s="132"/>
      <c r="F36" s="570"/>
      <c r="G36" s="132"/>
      <c r="H36" s="570"/>
      <c r="I36" s="132"/>
      <c r="J36" s="570"/>
    </row>
    <row r="37" spans="1:10">
      <c r="A37" s="105" t="s">
        <v>38</v>
      </c>
      <c r="B37" s="107">
        <f t="shared" si="2"/>
        <v>0</v>
      </c>
      <c r="C37" s="105"/>
      <c r="D37" s="571"/>
      <c r="E37" s="132"/>
      <c r="F37" s="571"/>
      <c r="G37" s="132"/>
      <c r="H37" s="571"/>
      <c r="I37" s="132"/>
      <c r="J37" s="571"/>
    </row>
    <row r="38" spans="1:10">
      <c r="A38" s="105" t="s">
        <v>39</v>
      </c>
      <c r="B38" s="107">
        <f t="shared" si="2"/>
        <v>0</v>
      </c>
      <c r="C38" s="105"/>
      <c r="D38" s="571"/>
      <c r="E38" s="132"/>
      <c r="F38" s="571"/>
      <c r="G38" s="132"/>
      <c r="H38" s="571"/>
      <c r="I38" s="132"/>
      <c r="J38" s="571"/>
    </row>
    <row r="39" spans="1:10" ht="13.5" thickBot="1">
      <c r="A39" s="105" t="s">
        <v>712</v>
      </c>
      <c r="B39" s="134">
        <f t="shared" si="2"/>
        <v>0</v>
      </c>
      <c r="C39" s="101"/>
      <c r="D39" s="134">
        <f>D40+D41</f>
        <v>0</v>
      </c>
      <c r="E39" s="132"/>
      <c r="F39" s="134">
        <f>F40+F41</f>
        <v>0</v>
      </c>
      <c r="G39" s="132"/>
      <c r="H39" s="134">
        <f>H40+H41</f>
        <v>0</v>
      </c>
      <c r="I39" s="132"/>
      <c r="J39" s="134">
        <f>J40+J41</f>
        <v>0</v>
      </c>
    </row>
    <row r="40" spans="1:10">
      <c r="A40" s="105" t="s">
        <v>40</v>
      </c>
      <c r="B40" s="121">
        <f t="shared" si="2"/>
        <v>0</v>
      </c>
      <c r="C40" s="101"/>
      <c r="D40" s="569"/>
      <c r="E40" s="132"/>
      <c r="F40" s="569"/>
      <c r="G40" s="132"/>
      <c r="H40" s="569"/>
      <c r="I40" s="132"/>
      <c r="J40" s="569"/>
    </row>
    <row r="41" spans="1:10">
      <c r="A41" s="105" t="s">
        <v>41</v>
      </c>
      <c r="B41" s="133">
        <f t="shared" si="2"/>
        <v>0</v>
      </c>
      <c r="C41" s="101"/>
      <c r="D41" s="133">
        <f>D42+D43+D44</f>
        <v>0</v>
      </c>
      <c r="E41" s="132"/>
      <c r="F41" s="133">
        <f>F42+F43+F44</f>
        <v>0</v>
      </c>
      <c r="G41" s="132"/>
      <c r="H41" s="133">
        <f>H42+H43+H44</f>
        <v>0</v>
      </c>
      <c r="I41" s="132"/>
      <c r="J41" s="133">
        <f>J42+J43+J44</f>
        <v>0</v>
      </c>
    </row>
    <row r="42" spans="1:10">
      <c r="A42" s="105" t="s">
        <v>42</v>
      </c>
      <c r="B42" s="111">
        <f t="shared" si="2"/>
        <v>0</v>
      </c>
      <c r="C42" s="105"/>
      <c r="D42" s="570"/>
      <c r="E42" s="132"/>
      <c r="F42" s="572"/>
      <c r="G42" s="132"/>
      <c r="H42" s="570"/>
      <c r="I42" s="132"/>
      <c r="J42" s="572"/>
    </row>
    <row r="43" spans="1:10">
      <c r="A43" s="105" t="s">
        <v>43</v>
      </c>
      <c r="B43" s="107">
        <f t="shared" si="2"/>
        <v>0</v>
      </c>
      <c r="C43" s="105"/>
      <c r="D43" s="571"/>
      <c r="E43" s="132"/>
      <c r="F43" s="571"/>
      <c r="G43" s="132"/>
      <c r="H43" s="571"/>
      <c r="I43" s="132"/>
      <c r="J43" s="571"/>
    </row>
    <row r="44" spans="1:10">
      <c r="A44" s="105" t="s">
        <v>44</v>
      </c>
      <c r="B44" s="107">
        <f t="shared" si="2"/>
        <v>0</v>
      </c>
      <c r="C44" s="105"/>
      <c r="D44" s="571"/>
      <c r="E44" s="132"/>
      <c r="F44" s="571"/>
      <c r="G44" s="132"/>
      <c r="H44" s="571"/>
      <c r="I44" s="132"/>
      <c r="J44" s="571"/>
    </row>
    <row r="45" spans="1:10" ht="13.5" thickBot="1">
      <c r="A45" s="105" t="s">
        <v>45</v>
      </c>
      <c r="B45" s="134">
        <f t="shared" ref="B45:B58" si="3">D45+F45</f>
        <v>0</v>
      </c>
      <c r="C45" s="101"/>
      <c r="D45" s="131">
        <f>D46+D47+D55+D58</f>
        <v>0</v>
      </c>
      <c r="E45" s="132"/>
      <c r="F45" s="131">
        <f>F46+F47+F55+F58</f>
        <v>0</v>
      </c>
      <c r="G45" s="132"/>
      <c r="H45" s="135" t="s">
        <v>46</v>
      </c>
      <c r="I45" s="132"/>
      <c r="J45" s="135" t="s">
        <v>46</v>
      </c>
    </row>
    <row r="46" spans="1:10">
      <c r="A46" s="105" t="s">
        <v>47</v>
      </c>
      <c r="B46" s="136">
        <f t="shared" si="3"/>
        <v>0</v>
      </c>
      <c r="C46" s="101"/>
      <c r="D46" s="569"/>
      <c r="E46" s="132"/>
      <c r="F46" s="569"/>
      <c r="G46" s="132"/>
      <c r="H46" s="137" t="s">
        <v>46</v>
      </c>
      <c r="I46" s="132"/>
      <c r="J46" s="137" t="s">
        <v>46</v>
      </c>
    </row>
    <row r="47" spans="1:10">
      <c r="A47" s="105" t="s">
        <v>48</v>
      </c>
      <c r="B47" s="136">
        <f t="shared" si="3"/>
        <v>0</v>
      </c>
      <c r="C47" s="101"/>
      <c r="D47" s="133">
        <f>SUM(D48:D54)</f>
        <v>0</v>
      </c>
      <c r="E47" s="132"/>
      <c r="F47" s="133">
        <f>SUM(F48:F54)</f>
        <v>0</v>
      </c>
      <c r="G47" s="132"/>
      <c r="H47" s="137" t="s">
        <v>46</v>
      </c>
      <c r="I47" s="132"/>
      <c r="J47" s="137" t="s">
        <v>46</v>
      </c>
    </row>
    <row r="48" spans="1:10">
      <c r="A48" s="105" t="s">
        <v>49</v>
      </c>
      <c r="B48" s="138">
        <f t="shared" si="3"/>
        <v>0</v>
      </c>
      <c r="C48" s="105"/>
      <c r="D48" s="570"/>
      <c r="E48" s="132"/>
      <c r="F48" s="570"/>
      <c r="G48" s="132"/>
      <c r="H48" s="139" t="s">
        <v>46</v>
      </c>
      <c r="I48" s="132"/>
      <c r="J48" s="139" t="s">
        <v>46</v>
      </c>
    </row>
    <row r="49" spans="1:10">
      <c r="A49" s="105" t="s">
        <v>50</v>
      </c>
      <c r="B49" s="107">
        <f t="shared" si="3"/>
        <v>0</v>
      </c>
      <c r="C49" s="105" t="s">
        <v>825</v>
      </c>
      <c r="D49" s="571"/>
      <c r="E49" s="132"/>
      <c r="F49" s="571"/>
      <c r="G49" s="132"/>
      <c r="H49" s="140" t="s">
        <v>46</v>
      </c>
      <c r="I49" s="132"/>
      <c r="J49" s="140" t="s">
        <v>46</v>
      </c>
    </row>
    <row r="50" spans="1:10">
      <c r="A50" s="130" t="s">
        <v>51</v>
      </c>
      <c r="B50" s="107">
        <f t="shared" si="3"/>
        <v>0</v>
      </c>
      <c r="C50" s="141"/>
      <c r="D50" s="571"/>
      <c r="E50" s="132"/>
      <c r="F50" s="571"/>
      <c r="G50" s="132"/>
      <c r="H50" s="140" t="s">
        <v>46</v>
      </c>
      <c r="I50" s="132"/>
      <c r="J50" s="140" t="s">
        <v>46</v>
      </c>
    </row>
    <row r="51" spans="1:10" ht="12.75" customHeight="1">
      <c r="A51" s="142" t="s">
        <v>52</v>
      </c>
      <c r="B51" s="107">
        <f t="shared" si="3"/>
        <v>0</v>
      </c>
      <c r="C51" s="142"/>
      <c r="D51" s="571"/>
      <c r="E51" s="132"/>
      <c r="F51" s="571"/>
      <c r="G51" s="132"/>
      <c r="H51" s="140" t="s">
        <v>46</v>
      </c>
      <c r="I51" s="132"/>
      <c r="J51" s="140" t="s">
        <v>46</v>
      </c>
    </row>
    <row r="52" spans="1:10">
      <c r="A52" s="105" t="s">
        <v>53</v>
      </c>
      <c r="B52" s="107">
        <f t="shared" si="3"/>
        <v>0</v>
      </c>
      <c r="C52" s="105"/>
      <c r="D52" s="569"/>
      <c r="E52" s="132"/>
      <c r="F52" s="569"/>
      <c r="G52" s="132"/>
      <c r="H52" s="140" t="s">
        <v>46</v>
      </c>
      <c r="I52" s="132"/>
      <c r="J52" s="140" t="s">
        <v>46</v>
      </c>
    </row>
    <row r="53" spans="1:10">
      <c r="A53" s="105" t="s">
        <v>54</v>
      </c>
      <c r="B53" s="107">
        <f t="shared" si="3"/>
        <v>0</v>
      </c>
      <c r="C53" s="105"/>
      <c r="D53" s="571"/>
      <c r="E53" s="132"/>
      <c r="F53" s="573"/>
      <c r="G53" s="132"/>
      <c r="H53" s="140" t="s">
        <v>46</v>
      </c>
      <c r="I53" s="132"/>
      <c r="J53" s="140" t="s">
        <v>46</v>
      </c>
    </row>
    <row r="54" spans="1:10">
      <c r="A54" s="105" t="s">
        <v>55</v>
      </c>
      <c r="B54" s="107">
        <f t="shared" si="3"/>
        <v>0</v>
      </c>
      <c r="C54" s="105"/>
      <c r="D54" s="570"/>
      <c r="E54" s="132"/>
      <c r="F54" s="571"/>
      <c r="G54" s="132"/>
      <c r="H54" s="140" t="s">
        <v>46</v>
      </c>
      <c r="I54" s="132"/>
      <c r="J54" s="140" t="s">
        <v>46</v>
      </c>
    </row>
    <row r="55" spans="1:10">
      <c r="A55" s="105" t="s">
        <v>56</v>
      </c>
      <c r="B55" s="107">
        <f t="shared" si="3"/>
        <v>0</v>
      </c>
      <c r="C55" s="101"/>
      <c r="D55" s="107">
        <f>D56+D57</f>
        <v>0</v>
      </c>
      <c r="E55" s="132"/>
      <c r="F55" s="107">
        <f>F56+F57</f>
        <v>0</v>
      </c>
      <c r="G55" s="132"/>
      <c r="H55" s="143" t="s">
        <v>46</v>
      </c>
      <c r="I55" s="132"/>
      <c r="J55" s="143" t="s">
        <v>46</v>
      </c>
    </row>
    <row r="56" spans="1:10">
      <c r="A56" s="105" t="s">
        <v>57</v>
      </c>
      <c r="B56" s="120">
        <f t="shared" si="3"/>
        <v>0</v>
      </c>
      <c r="C56" s="105"/>
      <c r="D56" s="571"/>
      <c r="E56" s="132"/>
      <c r="F56" s="571"/>
      <c r="G56" s="132"/>
      <c r="H56" s="143" t="s">
        <v>46</v>
      </c>
      <c r="I56" s="132"/>
      <c r="J56" s="143" t="s">
        <v>46</v>
      </c>
    </row>
    <row r="57" spans="1:10">
      <c r="A57" s="105" t="s">
        <v>58</v>
      </c>
      <c r="B57" s="110">
        <f t="shared" si="3"/>
        <v>0</v>
      </c>
      <c r="C57" s="105"/>
      <c r="D57" s="571"/>
      <c r="F57" s="571"/>
      <c r="G57" s="132"/>
      <c r="H57" s="143" t="s">
        <v>46</v>
      </c>
      <c r="I57" s="132"/>
      <c r="J57" s="143" t="s">
        <v>46</v>
      </c>
    </row>
    <row r="58" spans="1:10">
      <c r="A58" s="105" t="s">
        <v>1220</v>
      </c>
      <c r="B58" s="110">
        <f t="shared" si="3"/>
        <v>0</v>
      </c>
      <c r="C58" s="105"/>
      <c r="D58" s="573"/>
      <c r="F58" s="573"/>
      <c r="G58" s="132"/>
      <c r="H58" s="143" t="s">
        <v>46</v>
      </c>
      <c r="I58" s="132"/>
      <c r="J58" s="143" t="s">
        <v>46</v>
      </c>
    </row>
    <row r="59" spans="1:10" ht="13.5" thickBot="1">
      <c r="A59" s="105" t="s">
        <v>59</v>
      </c>
      <c r="B59" s="144">
        <f>D59+F59+H59+J59</f>
        <v>0</v>
      </c>
      <c r="C59" s="101"/>
      <c r="D59" s="573"/>
      <c r="F59" s="573"/>
      <c r="G59" s="132"/>
      <c r="H59" s="574"/>
      <c r="I59" s="132"/>
      <c r="J59" s="574"/>
    </row>
    <row r="60" spans="1:10" ht="13.5" thickBot="1">
      <c r="A60" s="105" t="s">
        <v>60</v>
      </c>
      <c r="B60" s="145">
        <f>D60+F60</f>
        <v>0</v>
      </c>
      <c r="C60" s="101"/>
      <c r="D60" s="146">
        <f>D61+D62+D63</f>
        <v>0</v>
      </c>
      <c r="F60" s="146">
        <f>F61+F62+F63</f>
        <v>0</v>
      </c>
      <c r="G60" s="132"/>
      <c r="H60" s="135" t="s">
        <v>46</v>
      </c>
      <c r="I60" s="132"/>
      <c r="J60" s="135" t="s">
        <v>46</v>
      </c>
    </row>
    <row r="61" spans="1:10">
      <c r="A61" s="105" t="s">
        <v>61</v>
      </c>
      <c r="B61" s="122">
        <f>D61+F61</f>
        <v>0</v>
      </c>
      <c r="C61" s="101"/>
      <c r="D61" s="575"/>
      <c r="F61" s="575"/>
      <c r="G61" s="132"/>
      <c r="H61" s="143" t="s">
        <v>46</v>
      </c>
      <c r="I61" s="132"/>
      <c r="J61" s="143" t="s">
        <v>46</v>
      </c>
    </row>
    <row r="62" spans="1:10">
      <c r="A62" s="105" t="s">
        <v>62</v>
      </c>
      <c r="B62" s="109">
        <f>D62+F62</f>
        <v>0</v>
      </c>
      <c r="C62" s="101"/>
      <c r="D62" s="576"/>
      <c r="F62" s="576"/>
      <c r="G62" s="132"/>
      <c r="H62" s="143" t="s">
        <v>46</v>
      </c>
      <c r="I62" s="132"/>
      <c r="J62" s="143" t="s">
        <v>46</v>
      </c>
    </row>
    <row r="63" spans="1:10">
      <c r="A63" s="105" t="s">
        <v>63</v>
      </c>
      <c r="B63" s="109">
        <f>D63+F63</f>
        <v>0</v>
      </c>
      <c r="C63" s="101"/>
      <c r="D63" s="576"/>
      <c r="F63" s="576"/>
      <c r="G63" s="132"/>
      <c r="H63" s="148" t="s">
        <v>46</v>
      </c>
      <c r="I63" s="132"/>
      <c r="J63" s="148" t="s">
        <v>46</v>
      </c>
    </row>
    <row r="64" spans="1:10">
      <c r="A64" s="105"/>
      <c r="B64" s="112"/>
      <c r="C64" s="101"/>
      <c r="D64" s="112"/>
      <c r="E64" s="200"/>
      <c r="F64" s="112"/>
      <c r="G64" s="132"/>
      <c r="H64" s="149"/>
      <c r="I64" s="132"/>
      <c r="J64" s="149"/>
    </row>
    <row r="65" spans="1:10" ht="13.5" thickBot="1">
      <c r="A65" s="102" t="s">
        <v>64</v>
      </c>
      <c r="B65" s="150">
        <f>D65+F65+H65+J65</f>
        <v>0</v>
      </c>
      <c r="C65" s="101"/>
      <c r="D65" s="150">
        <f>D33+D39+D45+D59+D60</f>
        <v>0</v>
      </c>
      <c r="F65" s="150">
        <f>F33+F39+F45+F59+F60</f>
        <v>0</v>
      </c>
      <c r="G65" s="132"/>
      <c r="H65" s="150">
        <f>H33+H39</f>
        <v>0</v>
      </c>
      <c r="I65" s="132"/>
      <c r="J65" s="150">
        <f>J33+J39</f>
        <v>0</v>
      </c>
    </row>
    <row r="66" spans="1:10" ht="13.5" thickTop="1">
      <c r="A66" s="151"/>
      <c r="B66" s="152"/>
      <c r="C66" s="152"/>
      <c r="D66" s="152"/>
      <c r="E66" s="152"/>
      <c r="F66" s="152"/>
      <c r="G66" s="152"/>
      <c r="H66" s="152"/>
      <c r="I66" s="152"/>
      <c r="J66" s="94"/>
    </row>
    <row r="67" spans="1:10">
      <c r="A67" s="151"/>
      <c r="B67" s="152"/>
      <c r="C67" s="152"/>
      <c r="D67" s="152"/>
      <c r="E67" s="152"/>
      <c r="F67" s="152"/>
      <c r="G67" s="152"/>
      <c r="H67" s="152"/>
      <c r="I67" s="152"/>
      <c r="J67" s="153"/>
    </row>
    <row r="68" spans="1:10" ht="13.5">
      <c r="A68" s="102"/>
      <c r="B68" s="827" t="s">
        <v>9</v>
      </c>
      <c r="C68" s="203"/>
      <c r="D68" s="126" t="s">
        <v>10</v>
      </c>
      <c r="E68" s="567"/>
      <c r="F68" s="127"/>
      <c r="G68" s="203"/>
      <c r="H68" s="126" t="s">
        <v>11</v>
      </c>
      <c r="I68" s="567"/>
      <c r="J68" s="127"/>
    </row>
    <row r="69" spans="1:10" ht="25.5">
      <c r="A69" s="155" t="s">
        <v>65</v>
      </c>
      <c r="B69" s="828"/>
      <c r="C69" s="203"/>
      <c r="D69" s="128" t="s">
        <v>32</v>
      </c>
      <c r="E69" s="568"/>
      <c r="F69" s="129" t="s">
        <v>33</v>
      </c>
      <c r="G69" s="203"/>
      <c r="H69" s="128" t="s">
        <v>32</v>
      </c>
      <c r="I69" s="568"/>
      <c r="J69" s="129" t="s">
        <v>33</v>
      </c>
    </row>
    <row r="70" spans="1:10">
      <c r="A70" s="156" t="s">
        <v>66</v>
      </c>
      <c r="B70" s="109">
        <f>SUM(D70,J70)</f>
        <v>0</v>
      </c>
      <c r="C70" s="566"/>
      <c r="D70" s="577"/>
      <c r="F70" s="578" t="s">
        <v>92</v>
      </c>
      <c r="H70" s="578" t="s">
        <v>840</v>
      </c>
      <c r="J70" s="579"/>
    </row>
    <row r="71" spans="1:10">
      <c r="A71" s="156" t="s">
        <v>14</v>
      </c>
      <c r="B71" s="109">
        <f>D71+F71+H71+J71</f>
        <v>0</v>
      </c>
      <c r="C71" s="566"/>
      <c r="D71" s="577"/>
      <c r="F71" s="577"/>
      <c r="H71" s="577"/>
      <c r="J71" s="577"/>
    </row>
    <row r="72" spans="1:10">
      <c r="A72" s="156" t="s">
        <v>67</v>
      </c>
      <c r="B72" s="109">
        <f>D72+F72+H72+J72</f>
        <v>0</v>
      </c>
      <c r="C72" s="566"/>
      <c r="D72" s="577"/>
      <c r="F72" s="577"/>
      <c r="H72" s="577"/>
      <c r="J72" s="577"/>
    </row>
    <row r="73" spans="1:10">
      <c r="A73" s="156"/>
      <c r="B73" s="157"/>
      <c r="C73" s="580"/>
      <c r="D73" s="157"/>
      <c r="E73" s="157"/>
      <c r="F73" s="200"/>
      <c r="G73" s="157"/>
      <c r="H73" s="157"/>
      <c r="I73" s="157"/>
      <c r="J73" s="157"/>
    </row>
    <row r="74" spans="1:10" ht="13.5" thickBot="1">
      <c r="A74" s="155" t="s">
        <v>68</v>
      </c>
      <c r="B74" s="159">
        <f>D74+F74+H74+J74</f>
        <v>0</v>
      </c>
      <c r="C74" s="566"/>
      <c r="D74" s="159">
        <f>SUM(D70:D72)</f>
        <v>0</v>
      </c>
      <c r="F74" s="159">
        <f>SUM(F71:F72)</f>
        <v>0</v>
      </c>
      <c r="H74" s="159">
        <f>SUM(H71:H72)</f>
        <v>0</v>
      </c>
      <c r="J74" s="159">
        <f>SUM(J70:J72)</f>
        <v>0</v>
      </c>
    </row>
    <row r="75" spans="1:10" ht="14.25" thickTop="1">
      <c r="A75" s="160"/>
      <c r="B75" s="161"/>
      <c r="C75" s="581"/>
      <c r="D75" s="162"/>
      <c r="E75" s="581"/>
      <c r="F75" s="162"/>
      <c r="G75" s="581"/>
      <c r="H75" s="163"/>
      <c r="I75" s="287"/>
      <c r="J75" s="163"/>
    </row>
    <row r="76" spans="1:10">
      <c r="A76" s="164"/>
      <c r="B76" s="152"/>
      <c r="C76" s="152"/>
      <c r="D76" s="152"/>
      <c r="E76" s="152"/>
      <c r="F76" s="152"/>
      <c r="G76" s="152"/>
      <c r="H76" s="152"/>
      <c r="I76" s="152"/>
      <c r="J76" s="153"/>
    </row>
    <row r="77" spans="1:10" ht="13.5">
      <c r="A77" s="165"/>
      <c r="B77" s="827" t="s">
        <v>9</v>
      </c>
      <c r="C77" s="203"/>
      <c r="D77" s="126" t="s">
        <v>10</v>
      </c>
      <c r="E77" s="567"/>
      <c r="F77" s="127"/>
      <c r="G77" s="203"/>
      <c r="H77" s="126" t="s">
        <v>11</v>
      </c>
      <c r="I77" s="567"/>
      <c r="J77" s="127"/>
    </row>
    <row r="78" spans="1:10" ht="25.5">
      <c r="A78" s="155" t="s">
        <v>69</v>
      </c>
      <c r="B78" s="829"/>
      <c r="C78" s="582"/>
      <c r="D78" s="166" t="s">
        <v>32</v>
      </c>
      <c r="E78" s="582"/>
      <c r="F78" s="166" t="s">
        <v>33</v>
      </c>
      <c r="G78" s="582"/>
      <c r="H78" s="166" t="s">
        <v>32</v>
      </c>
      <c r="I78" s="582"/>
      <c r="J78" s="167" t="s">
        <v>33</v>
      </c>
    </row>
    <row r="79" spans="1:10" ht="13.5" thickBot="1">
      <c r="A79" s="156" t="s">
        <v>70</v>
      </c>
      <c r="B79" s="168">
        <f t="shared" ref="B79:B95" si="4">SUM(D79,F79,H79,J79)</f>
        <v>0</v>
      </c>
      <c r="C79" s="170"/>
      <c r="D79" s="583"/>
      <c r="E79" s="170"/>
      <c r="F79" s="583"/>
      <c r="G79" s="170"/>
      <c r="H79" s="583"/>
      <c r="I79" s="170"/>
      <c r="J79" s="583"/>
    </row>
    <row r="80" spans="1:10" ht="13.5" thickBot="1">
      <c r="A80" s="156" t="s">
        <v>71</v>
      </c>
      <c r="B80" s="169">
        <f t="shared" si="4"/>
        <v>0</v>
      </c>
      <c r="D80" s="169">
        <f>D81+D82</f>
        <v>0</v>
      </c>
      <c r="F80" s="169">
        <f>F81+F82</f>
        <v>0</v>
      </c>
      <c r="H80" s="169">
        <f>H81+H82</f>
        <v>0</v>
      </c>
      <c r="J80" s="169">
        <f>J81+J82</f>
        <v>0</v>
      </c>
    </row>
    <row r="81" spans="1:10">
      <c r="A81" s="156" t="s">
        <v>72</v>
      </c>
      <c r="B81" s="170">
        <f t="shared" si="4"/>
        <v>0</v>
      </c>
      <c r="D81" s="584"/>
      <c r="F81" s="584"/>
      <c r="H81" s="584"/>
      <c r="J81" s="584"/>
    </row>
    <row r="82" spans="1:10">
      <c r="A82" s="156" t="s">
        <v>73</v>
      </c>
      <c r="B82" s="171">
        <f t="shared" si="4"/>
        <v>0</v>
      </c>
      <c r="D82" s="585"/>
      <c r="F82" s="585"/>
      <c r="H82" s="585"/>
      <c r="J82" s="585"/>
    </row>
    <row r="83" spans="1:10" ht="13.5" thickBot="1">
      <c r="A83" s="156" t="s">
        <v>74</v>
      </c>
      <c r="B83" s="169">
        <f t="shared" si="4"/>
        <v>0</v>
      </c>
      <c r="D83" s="169">
        <f t="shared" ref="D83:J83" si="5">D84+D85</f>
        <v>0</v>
      </c>
      <c r="E83" s="170">
        <f t="shared" si="5"/>
        <v>0</v>
      </c>
      <c r="F83" s="169">
        <f t="shared" si="5"/>
        <v>0</v>
      </c>
      <c r="G83" s="170">
        <f t="shared" si="5"/>
        <v>0</v>
      </c>
      <c r="H83" s="169">
        <f t="shared" si="5"/>
        <v>0</v>
      </c>
      <c r="I83" s="170">
        <f t="shared" si="5"/>
        <v>0</v>
      </c>
      <c r="J83" s="169">
        <f t="shared" si="5"/>
        <v>0</v>
      </c>
    </row>
    <row r="84" spans="1:10">
      <c r="A84" s="156" t="s">
        <v>75</v>
      </c>
      <c r="B84" s="170">
        <f t="shared" si="4"/>
        <v>0</v>
      </c>
      <c r="D84" s="584"/>
      <c r="F84" s="584"/>
      <c r="H84" s="584"/>
      <c r="J84" s="584"/>
    </row>
    <row r="85" spans="1:10">
      <c r="A85" s="156" t="s">
        <v>76</v>
      </c>
      <c r="B85" s="171">
        <f t="shared" si="4"/>
        <v>0</v>
      </c>
      <c r="D85" s="585"/>
      <c r="F85" s="585"/>
      <c r="H85" s="585"/>
      <c r="J85" s="585"/>
    </row>
    <row r="86" spans="1:10" ht="13.5" thickBot="1">
      <c r="A86" s="156" t="s">
        <v>77</v>
      </c>
      <c r="B86" s="169">
        <f t="shared" si="4"/>
        <v>0</v>
      </c>
      <c r="D86" s="169">
        <f>D87+D90+D93</f>
        <v>0</v>
      </c>
      <c r="F86" s="169">
        <f>F87+F90+F93</f>
        <v>0</v>
      </c>
      <c r="H86" s="169">
        <f>H87+H90+H93</f>
        <v>0</v>
      </c>
      <c r="J86" s="169">
        <f>J87+J90+J93</f>
        <v>0</v>
      </c>
    </row>
    <row r="87" spans="1:10">
      <c r="A87" s="156" t="s">
        <v>78</v>
      </c>
      <c r="B87" s="172">
        <f t="shared" si="4"/>
        <v>0</v>
      </c>
      <c r="D87" s="172">
        <f>D88+D89</f>
        <v>0</v>
      </c>
      <c r="E87" s="173"/>
      <c r="F87" s="172">
        <f>F88+F89</f>
        <v>0</v>
      </c>
      <c r="H87" s="172">
        <f>H88+H89</f>
        <v>0</v>
      </c>
      <c r="J87" s="172">
        <f>J88+J89</f>
        <v>0</v>
      </c>
    </row>
    <row r="88" spans="1:10">
      <c r="A88" s="156" t="s">
        <v>79</v>
      </c>
      <c r="B88" s="170">
        <f t="shared" si="4"/>
        <v>0</v>
      </c>
      <c r="D88" s="584"/>
      <c r="F88" s="584"/>
      <c r="H88" s="584"/>
      <c r="J88" s="584"/>
    </row>
    <row r="89" spans="1:10">
      <c r="A89" s="156" t="s">
        <v>80</v>
      </c>
      <c r="B89" s="171">
        <f t="shared" si="4"/>
        <v>0</v>
      </c>
      <c r="D89" s="585"/>
      <c r="F89" s="585"/>
      <c r="H89" s="585"/>
      <c r="J89" s="585"/>
    </row>
    <row r="90" spans="1:10">
      <c r="A90" s="156" t="s">
        <v>81</v>
      </c>
      <c r="B90" s="172">
        <f t="shared" si="4"/>
        <v>0</v>
      </c>
      <c r="D90" s="172">
        <f>D91+D92</f>
        <v>0</v>
      </c>
      <c r="F90" s="172">
        <f>F91+F92</f>
        <v>0</v>
      </c>
      <c r="H90" s="172">
        <f>H91+H92</f>
        <v>0</v>
      </c>
      <c r="J90" s="172">
        <f>J91+J92</f>
        <v>0</v>
      </c>
    </row>
    <row r="91" spans="1:10">
      <c r="A91" s="156" t="s">
        <v>82</v>
      </c>
      <c r="B91" s="170">
        <f t="shared" si="4"/>
        <v>0</v>
      </c>
      <c r="D91" s="584"/>
      <c r="F91" s="584"/>
      <c r="H91" s="584"/>
      <c r="J91" s="584"/>
    </row>
    <row r="92" spans="1:10">
      <c r="A92" s="156" t="s">
        <v>83</v>
      </c>
      <c r="B92" s="171">
        <f t="shared" si="4"/>
        <v>0</v>
      </c>
      <c r="D92" s="585"/>
      <c r="F92" s="585"/>
      <c r="H92" s="585"/>
      <c r="J92" s="585"/>
    </row>
    <row r="93" spans="1:10">
      <c r="A93" s="156" t="s">
        <v>84</v>
      </c>
      <c r="B93" s="171">
        <f t="shared" si="4"/>
        <v>0</v>
      </c>
      <c r="D93" s="172">
        <f>D94+D95</f>
        <v>0</v>
      </c>
      <c r="F93" s="172">
        <f>F94+F95</f>
        <v>0</v>
      </c>
      <c r="H93" s="172">
        <f>H94+H95</f>
        <v>0</v>
      </c>
      <c r="J93" s="172">
        <f>J94+J95</f>
        <v>0</v>
      </c>
    </row>
    <row r="94" spans="1:10">
      <c r="A94" s="156" t="s">
        <v>85</v>
      </c>
      <c r="B94" s="171">
        <f t="shared" si="4"/>
        <v>0</v>
      </c>
      <c r="D94" s="584"/>
      <c r="F94" s="584"/>
      <c r="H94" s="584"/>
      <c r="J94" s="584"/>
    </row>
    <row r="95" spans="1:10">
      <c r="A95" s="156" t="s">
        <v>86</v>
      </c>
      <c r="B95" s="171">
        <f t="shared" si="4"/>
        <v>0</v>
      </c>
      <c r="D95" s="585"/>
      <c r="F95" s="585"/>
      <c r="H95" s="585"/>
      <c r="J95" s="585"/>
    </row>
    <row r="96" spans="1:10" ht="13.5" thickBot="1">
      <c r="A96" s="156" t="s">
        <v>87</v>
      </c>
      <c r="B96" s="174">
        <f t="shared" ref="B96:B110" si="6">SUM(D96,F96,H96,J96)</f>
        <v>0</v>
      </c>
      <c r="C96" s="586"/>
      <c r="D96" s="174">
        <f t="shared" ref="D96:J96" si="7">D97+D98</f>
        <v>0</v>
      </c>
      <c r="E96" s="175">
        <f t="shared" si="7"/>
        <v>0</v>
      </c>
      <c r="F96" s="174">
        <f t="shared" si="7"/>
        <v>0</v>
      </c>
      <c r="G96" s="175">
        <f t="shared" si="7"/>
        <v>0</v>
      </c>
      <c r="H96" s="174">
        <f t="shared" si="7"/>
        <v>0</v>
      </c>
      <c r="I96" s="175">
        <f t="shared" si="7"/>
        <v>0</v>
      </c>
      <c r="J96" s="174">
        <f t="shared" si="7"/>
        <v>0</v>
      </c>
    </row>
    <row r="97" spans="1:10">
      <c r="A97" s="156" t="s">
        <v>88</v>
      </c>
      <c r="B97" s="170">
        <f t="shared" si="6"/>
        <v>0</v>
      </c>
      <c r="D97" s="584"/>
      <c r="F97" s="584"/>
      <c r="H97" s="584"/>
      <c r="J97" s="584"/>
    </row>
    <row r="98" spans="1:10">
      <c r="A98" s="156" t="s">
        <v>89</v>
      </c>
      <c r="B98" s="171">
        <f t="shared" si="6"/>
        <v>0</v>
      </c>
      <c r="D98" s="585"/>
      <c r="F98" s="585"/>
      <c r="H98" s="585"/>
      <c r="J98" s="585"/>
    </row>
    <row r="99" spans="1:10" ht="13.5" thickBot="1">
      <c r="A99" s="156" t="s">
        <v>90</v>
      </c>
      <c r="B99" s="176">
        <f t="shared" si="6"/>
        <v>0</v>
      </c>
      <c r="C99" s="586"/>
      <c r="D99" s="177">
        <f>D100+D103</f>
        <v>0</v>
      </c>
      <c r="E99" s="175">
        <f>E100+E103</f>
        <v>0</v>
      </c>
      <c r="F99" s="178">
        <f>F100+F103</f>
        <v>0</v>
      </c>
      <c r="G99" s="175">
        <f>G100+G103</f>
        <v>0</v>
      </c>
      <c r="H99" s="179">
        <f>H103</f>
        <v>0</v>
      </c>
      <c r="I99" s="175"/>
      <c r="J99" s="176">
        <f>J103</f>
        <v>0</v>
      </c>
    </row>
    <row r="100" spans="1:10">
      <c r="A100" s="156" t="s">
        <v>91</v>
      </c>
      <c r="B100" s="180">
        <f>SUM(D100,F100,H100,J100)</f>
        <v>0</v>
      </c>
      <c r="D100" s="180">
        <f>D101+D102</f>
        <v>0</v>
      </c>
      <c r="F100" s="180">
        <f>F101+F102</f>
        <v>0</v>
      </c>
      <c r="H100" s="181" t="s">
        <v>92</v>
      </c>
      <c r="J100" s="181" t="s">
        <v>46</v>
      </c>
    </row>
    <row r="101" spans="1:10">
      <c r="A101" s="156" t="s">
        <v>93</v>
      </c>
      <c r="B101" s="170">
        <f t="shared" si="6"/>
        <v>0</v>
      </c>
      <c r="D101" s="584"/>
      <c r="F101" s="584"/>
      <c r="H101" s="182" t="s">
        <v>92</v>
      </c>
      <c r="J101" s="182" t="s">
        <v>46</v>
      </c>
    </row>
    <row r="102" spans="1:10">
      <c r="A102" s="156" t="s">
        <v>94</v>
      </c>
      <c r="B102" s="171">
        <f t="shared" si="6"/>
        <v>0</v>
      </c>
      <c r="D102" s="585"/>
      <c r="F102" s="585"/>
      <c r="H102" s="182" t="s">
        <v>92</v>
      </c>
      <c r="J102" s="182" t="s">
        <v>46</v>
      </c>
    </row>
    <row r="103" spans="1:10">
      <c r="A103" s="156" t="s">
        <v>95</v>
      </c>
      <c r="B103" s="172">
        <f t="shared" si="6"/>
        <v>0</v>
      </c>
      <c r="D103" s="172">
        <f>D104+D105</f>
        <v>0</v>
      </c>
      <c r="F103" s="172">
        <f>F104+F105</f>
        <v>0</v>
      </c>
      <c r="H103" s="172">
        <f>H104+H105</f>
        <v>0</v>
      </c>
      <c r="J103" s="172">
        <f>J104+J105</f>
        <v>0</v>
      </c>
    </row>
    <row r="104" spans="1:10">
      <c r="A104" s="156" t="s">
        <v>96</v>
      </c>
      <c r="B104" s="170">
        <f t="shared" si="6"/>
        <v>0</v>
      </c>
      <c r="D104" s="584"/>
      <c r="F104" s="584"/>
      <c r="H104" s="584"/>
      <c r="J104" s="584"/>
    </row>
    <row r="105" spans="1:10">
      <c r="A105" s="156" t="s">
        <v>97</v>
      </c>
      <c r="B105" s="171">
        <f t="shared" si="6"/>
        <v>0</v>
      </c>
      <c r="D105" s="585"/>
      <c r="F105" s="585"/>
      <c r="H105" s="585"/>
      <c r="J105" s="585"/>
    </row>
    <row r="106" spans="1:10">
      <c r="A106" s="156" t="s">
        <v>98</v>
      </c>
      <c r="B106" s="172">
        <f t="shared" si="6"/>
        <v>0</v>
      </c>
      <c r="D106" s="172">
        <f>D107+D108</f>
        <v>0</v>
      </c>
      <c r="F106" s="172">
        <f>F107+F108</f>
        <v>0</v>
      </c>
      <c r="H106" s="172">
        <f>H107+H108</f>
        <v>0</v>
      </c>
      <c r="J106" s="172">
        <f>J107+J108</f>
        <v>0</v>
      </c>
    </row>
    <row r="107" spans="1:10">
      <c r="A107" s="156" t="s">
        <v>99</v>
      </c>
      <c r="B107" s="170">
        <f t="shared" si="6"/>
        <v>0</v>
      </c>
      <c r="D107" s="584"/>
      <c r="F107" s="584"/>
      <c r="H107" s="584"/>
      <c r="J107" s="584"/>
    </row>
    <row r="108" spans="1:10">
      <c r="A108" s="156" t="s">
        <v>100</v>
      </c>
      <c r="B108" s="171">
        <f t="shared" si="6"/>
        <v>0</v>
      </c>
      <c r="D108" s="585"/>
      <c r="F108" s="585"/>
      <c r="H108" s="585"/>
      <c r="J108" s="585"/>
    </row>
    <row r="109" spans="1:10">
      <c r="A109" s="156" t="s">
        <v>101</v>
      </c>
      <c r="B109" s="172">
        <f t="shared" si="6"/>
        <v>0</v>
      </c>
      <c r="D109" s="172">
        <f>D110+D111</f>
        <v>0</v>
      </c>
      <c r="F109" s="172">
        <f>F110+F111</f>
        <v>0</v>
      </c>
      <c r="H109" s="172">
        <f>H110+H111</f>
        <v>0</v>
      </c>
      <c r="J109" s="172">
        <f>J110+J111</f>
        <v>0</v>
      </c>
    </row>
    <row r="110" spans="1:10">
      <c r="A110" s="156" t="s">
        <v>102</v>
      </c>
      <c r="B110" s="170">
        <f t="shared" si="6"/>
        <v>0</v>
      </c>
      <c r="D110" s="584"/>
      <c r="F110" s="584"/>
      <c r="H110" s="584"/>
      <c r="J110" s="584"/>
    </row>
    <row r="111" spans="1:10">
      <c r="A111" s="156" t="s">
        <v>103</v>
      </c>
      <c r="B111" s="171">
        <f t="shared" ref="B111:B120" si="8">SUM(D111,F111,H111,J111)</f>
        <v>0</v>
      </c>
      <c r="D111" s="585"/>
      <c r="F111" s="585"/>
      <c r="H111" s="585"/>
      <c r="J111" s="585"/>
    </row>
    <row r="112" spans="1:10" ht="13.5" thickBot="1">
      <c r="A112" s="156" t="s">
        <v>104</v>
      </c>
      <c r="B112" s="183">
        <f t="shared" si="8"/>
        <v>0</v>
      </c>
      <c r="D112" s="184">
        <f>D113+D114+D117</f>
        <v>0</v>
      </c>
      <c r="E112" s="170"/>
      <c r="F112" s="184">
        <f>F113+F114+F117</f>
        <v>0</v>
      </c>
      <c r="H112" s="184">
        <f>H113+H114+H117</f>
        <v>0</v>
      </c>
      <c r="I112" s="170"/>
      <c r="J112" s="184">
        <f>J113+J114+J117</f>
        <v>0</v>
      </c>
    </row>
    <row r="113" spans="1:10">
      <c r="A113" s="156" t="s">
        <v>105</v>
      </c>
      <c r="B113" s="185">
        <f t="shared" si="8"/>
        <v>0</v>
      </c>
      <c r="D113" s="587"/>
      <c r="F113" s="587"/>
      <c r="H113" s="587"/>
      <c r="I113" s="588"/>
      <c r="J113" s="587"/>
    </row>
    <row r="114" spans="1:10">
      <c r="A114" s="156" t="s">
        <v>106</v>
      </c>
      <c r="B114" s="186">
        <f t="shared" si="8"/>
        <v>0</v>
      </c>
      <c r="D114" s="186">
        <f>D115+D116</f>
        <v>0</v>
      </c>
      <c r="F114" s="186">
        <f>F115+F116</f>
        <v>0</v>
      </c>
      <c r="H114" s="186">
        <f>H116</f>
        <v>0</v>
      </c>
      <c r="J114" s="186">
        <f>J116</f>
        <v>0</v>
      </c>
    </row>
    <row r="115" spans="1:10">
      <c r="A115" s="156" t="s">
        <v>107</v>
      </c>
      <c r="B115" s="187">
        <f t="shared" si="8"/>
        <v>0</v>
      </c>
      <c r="D115" s="584"/>
      <c r="F115" s="584"/>
      <c r="H115" s="182" t="s">
        <v>92</v>
      </c>
      <c r="J115" s="188" t="s">
        <v>46</v>
      </c>
    </row>
    <row r="116" spans="1:10">
      <c r="A116" s="189" t="s">
        <v>108</v>
      </c>
      <c r="B116" s="190">
        <f t="shared" si="8"/>
        <v>0</v>
      </c>
      <c r="D116" s="585"/>
      <c r="F116" s="585"/>
      <c r="H116" s="585"/>
      <c r="J116" s="585"/>
    </row>
    <row r="117" spans="1:10">
      <c r="A117" s="156" t="s">
        <v>109</v>
      </c>
      <c r="B117" s="190">
        <f t="shared" si="8"/>
        <v>0</v>
      </c>
      <c r="D117" s="584"/>
      <c r="F117" s="584"/>
      <c r="H117" s="584"/>
      <c r="J117" s="584"/>
    </row>
    <row r="118" spans="1:10">
      <c r="A118" s="156" t="s">
        <v>110</v>
      </c>
      <c r="B118" s="187">
        <f t="shared" si="8"/>
        <v>0</v>
      </c>
      <c r="D118" s="585"/>
      <c r="F118" s="585"/>
      <c r="H118" s="585"/>
      <c r="J118" s="585"/>
    </row>
    <row r="119" spans="1:10" ht="13.5" thickBot="1">
      <c r="A119" s="156" t="s">
        <v>111</v>
      </c>
      <c r="B119" s="191">
        <f t="shared" si="8"/>
        <v>0</v>
      </c>
      <c r="C119" s="192">
        <v>0</v>
      </c>
      <c r="D119" s="191">
        <f>D120+D125+D128+D131</f>
        <v>0</v>
      </c>
      <c r="E119" s="192">
        <v>0</v>
      </c>
      <c r="F119" s="191">
        <f>F120+F125+F128+F131</f>
        <v>0</v>
      </c>
      <c r="G119" s="192"/>
      <c r="H119" s="191">
        <f>H120+H125+H128+H131</f>
        <v>0</v>
      </c>
      <c r="I119" s="192">
        <v>0</v>
      </c>
      <c r="J119" s="191">
        <f>J120+J125+J128+J131</f>
        <v>0</v>
      </c>
    </row>
    <row r="120" spans="1:10">
      <c r="A120" s="164" t="s">
        <v>112</v>
      </c>
      <c r="B120" s="180">
        <f t="shared" si="8"/>
        <v>0</v>
      </c>
      <c r="C120" s="170">
        <f>C121+C122+C123+C124</f>
        <v>0</v>
      </c>
      <c r="D120" s="180">
        <f>D121+D122+D123+D124</f>
        <v>0</v>
      </c>
      <c r="E120" s="170">
        <f>E121+E122+E123+E124</f>
        <v>0</v>
      </c>
      <c r="F120" s="180">
        <f>F121+F122+F123+F124</f>
        <v>0</v>
      </c>
      <c r="G120" s="170">
        <f>G121+G122+G123+G124</f>
        <v>0</v>
      </c>
      <c r="H120" s="180">
        <f>H122+H124</f>
        <v>0</v>
      </c>
      <c r="I120" s="170"/>
      <c r="J120" s="180">
        <f>J122+J124</f>
        <v>0</v>
      </c>
    </row>
    <row r="121" spans="1:10">
      <c r="A121" s="156" t="s">
        <v>113</v>
      </c>
      <c r="B121" s="193">
        <f t="shared" ref="B121:B133" si="9">SUM(D121,F121,H121,J121)</f>
        <v>0</v>
      </c>
      <c r="D121" s="589"/>
      <c r="F121" s="589"/>
      <c r="H121" s="182" t="s">
        <v>92</v>
      </c>
      <c r="I121" s="173"/>
      <c r="J121" s="182" t="s">
        <v>46</v>
      </c>
    </row>
    <row r="122" spans="1:10">
      <c r="A122" s="156" t="s">
        <v>114</v>
      </c>
      <c r="B122" s="190">
        <f t="shared" si="9"/>
        <v>0</v>
      </c>
      <c r="D122" s="585"/>
      <c r="F122" s="585"/>
      <c r="H122" s="585"/>
      <c r="J122" s="585"/>
    </row>
    <row r="123" spans="1:10">
      <c r="A123" s="156" t="s">
        <v>115</v>
      </c>
      <c r="B123" s="190">
        <f t="shared" si="9"/>
        <v>0</v>
      </c>
      <c r="D123" s="585"/>
      <c r="F123" s="585"/>
      <c r="H123" s="194" t="s">
        <v>92</v>
      </c>
      <c r="J123" s="194" t="s">
        <v>46</v>
      </c>
    </row>
    <row r="124" spans="1:10">
      <c r="A124" s="156" t="s">
        <v>116</v>
      </c>
      <c r="B124" s="195">
        <f>SUM(D124,F124,H124,J124)</f>
        <v>0</v>
      </c>
      <c r="C124" s="158"/>
      <c r="D124" s="577"/>
      <c r="E124" s="590"/>
      <c r="F124" s="577"/>
      <c r="G124" s="590"/>
      <c r="H124" s="577"/>
      <c r="I124" s="590"/>
      <c r="J124" s="577"/>
    </row>
    <row r="125" spans="1:10">
      <c r="A125" s="156" t="s">
        <v>117</v>
      </c>
      <c r="B125" s="196">
        <f t="shared" si="9"/>
        <v>0</v>
      </c>
      <c r="D125" s="196">
        <f>D126+D127</f>
        <v>0</v>
      </c>
      <c r="F125" s="196">
        <f>F126+F127</f>
        <v>0</v>
      </c>
      <c r="H125" s="196">
        <f>H126+H127</f>
        <v>0</v>
      </c>
      <c r="J125" s="196">
        <f>J126+J127</f>
        <v>0</v>
      </c>
    </row>
    <row r="126" spans="1:10">
      <c r="A126" s="156" t="s">
        <v>118</v>
      </c>
      <c r="B126" s="193">
        <f t="shared" si="9"/>
        <v>0</v>
      </c>
      <c r="D126" s="589"/>
      <c r="F126" s="589"/>
      <c r="H126" s="589"/>
      <c r="J126" s="589"/>
    </row>
    <row r="127" spans="1:10">
      <c r="A127" s="156" t="s">
        <v>119</v>
      </c>
      <c r="B127" s="190">
        <f t="shared" si="9"/>
        <v>0</v>
      </c>
      <c r="D127" s="585"/>
      <c r="F127" s="585"/>
      <c r="H127" s="585"/>
      <c r="I127" s="170"/>
      <c r="J127" s="585"/>
    </row>
    <row r="128" spans="1:10">
      <c r="A128" s="197" t="s">
        <v>120</v>
      </c>
      <c r="B128" s="196">
        <f t="shared" si="9"/>
        <v>0</v>
      </c>
      <c r="D128" s="196">
        <f>D129+D130</f>
        <v>0</v>
      </c>
      <c r="F128" s="196">
        <f>F129+F130</f>
        <v>0</v>
      </c>
      <c r="H128" s="196">
        <f>H129+H130</f>
        <v>0</v>
      </c>
      <c r="I128" s="196">
        <f>I129+I130</f>
        <v>0</v>
      </c>
      <c r="J128" s="196">
        <f>J129+J130</f>
        <v>0</v>
      </c>
    </row>
    <row r="129" spans="1:10">
      <c r="A129" s="156" t="s">
        <v>121</v>
      </c>
      <c r="B129" s="193">
        <f t="shared" si="9"/>
        <v>0</v>
      </c>
      <c r="D129" s="589"/>
      <c r="F129" s="589"/>
      <c r="H129" s="589"/>
      <c r="J129" s="589"/>
    </row>
    <row r="130" spans="1:10">
      <c r="A130" s="156" t="s">
        <v>122</v>
      </c>
      <c r="B130" s="190">
        <f t="shared" si="9"/>
        <v>0</v>
      </c>
      <c r="D130" s="585"/>
      <c r="F130" s="585"/>
      <c r="H130" s="585"/>
      <c r="J130" s="585"/>
    </row>
    <row r="131" spans="1:10">
      <c r="A131" s="197" t="s">
        <v>123</v>
      </c>
      <c r="B131" s="196">
        <f t="shared" si="9"/>
        <v>0</v>
      </c>
      <c r="D131" s="196">
        <f>D132+D133</f>
        <v>0</v>
      </c>
      <c r="F131" s="196">
        <f>F132+F133</f>
        <v>0</v>
      </c>
      <c r="H131" s="196">
        <f>H132+H133</f>
        <v>0</v>
      </c>
      <c r="J131" s="196">
        <f>J132+J133</f>
        <v>0</v>
      </c>
    </row>
    <row r="132" spans="1:10">
      <c r="A132" s="156" t="s">
        <v>124</v>
      </c>
      <c r="B132" s="193">
        <f t="shared" si="9"/>
        <v>0</v>
      </c>
      <c r="D132" s="589"/>
      <c r="F132" s="589"/>
      <c r="H132" s="589"/>
      <c r="J132" s="589"/>
    </row>
    <row r="133" spans="1:10">
      <c r="A133" s="156" t="s">
        <v>125</v>
      </c>
      <c r="B133" s="190">
        <f t="shared" si="9"/>
        <v>0</v>
      </c>
      <c r="D133" s="585"/>
      <c r="F133" s="585"/>
      <c r="H133" s="585"/>
      <c r="J133" s="585"/>
    </row>
    <row r="134" spans="1:10">
      <c r="A134" s="198"/>
      <c r="B134" s="199"/>
      <c r="D134" s="199"/>
      <c r="F134" s="199"/>
      <c r="H134" s="199"/>
      <c r="J134" s="199"/>
    </row>
    <row r="135" spans="1:10" ht="13.5" thickBot="1">
      <c r="A135" s="155" t="s">
        <v>126</v>
      </c>
      <c r="B135" s="174">
        <f>SUM(D135,F135,H135,J135)</f>
        <v>0</v>
      </c>
      <c r="C135" s="586"/>
      <c r="D135" s="174">
        <f>D79+D80+D83+D86+D96+D99+D106+D109+D112+D118+D119</f>
        <v>0</v>
      </c>
      <c r="F135" s="174">
        <f>F79+F80+F83+F86+F96+F99+F106+F109+F112+F118+F119</f>
        <v>0</v>
      </c>
      <c r="H135" s="174">
        <f>H79+H80+H83+H86+H96+H99+H106+H109+H112+H118+H119</f>
        <v>0</v>
      </c>
      <c r="J135" s="174">
        <f>J79+J80+J83+J86+J96+J99+J106+J109+J112+J118+J119</f>
        <v>0</v>
      </c>
    </row>
    <row r="136" spans="1:10">
      <c r="A136" s="155" t="s">
        <v>127</v>
      </c>
      <c r="B136" s="147"/>
      <c r="D136" s="147"/>
      <c r="F136" s="147"/>
      <c r="H136" s="147"/>
      <c r="J136" s="147"/>
    </row>
    <row r="137" spans="1:10" ht="13.5" thickBot="1">
      <c r="A137" s="164" t="s">
        <v>128</v>
      </c>
      <c r="B137" s="168">
        <f>SUM(D137,F137,H137,J137)</f>
        <v>0</v>
      </c>
      <c r="C137" s="170"/>
      <c r="D137" s="168">
        <f>D138+D139</f>
        <v>0</v>
      </c>
      <c r="F137" s="168">
        <f>F138+F139</f>
        <v>0</v>
      </c>
      <c r="H137" s="168">
        <f>H138+H139</f>
        <v>0</v>
      </c>
      <c r="J137" s="168">
        <f>J138+J139</f>
        <v>0</v>
      </c>
    </row>
    <row r="138" spans="1:10">
      <c r="A138" s="156" t="s">
        <v>129</v>
      </c>
      <c r="B138" s="193">
        <f>SUM(D138,F138,H138,J138)</f>
        <v>0</v>
      </c>
      <c r="C138" s="170"/>
      <c r="D138" s="589"/>
      <c r="F138" s="589"/>
      <c r="H138" s="589"/>
      <c r="J138" s="589"/>
    </row>
    <row r="139" spans="1:10">
      <c r="A139" s="156" t="s">
        <v>130</v>
      </c>
      <c r="B139" s="190">
        <f>SUM(D139,F139,H139,J139)</f>
        <v>0</v>
      </c>
      <c r="D139" s="585"/>
      <c r="F139" s="585"/>
      <c r="H139" s="585"/>
      <c r="J139" s="585"/>
    </row>
    <row r="140" spans="1:10">
      <c r="A140" s="156"/>
      <c r="B140" s="200"/>
      <c r="D140" s="200"/>
      <c r="E140" s="200"/>
      <c r="F140" s="200"/>
      <c r="G140" s="200"/>
      <c r="H140" s="200"/>
      <c r="I140" s="200"/>
      <c r="J140" s="200"/>
    </row>
    <row r="141" spans="1:10" ht="13.5" thickBot="1">
      <c r="A141" s="155" t="s">
        <v>131</v>
      </c>
      <c r="B141" s="201">
        <f>SUM(D141,F141,H141,J141)</f>
        <v>0</v>
      </c>
      <c r="C141" s="202"/>
      <c r="D141" s="201">
        <f>D135-D137</f>
        <v>0</v>
      </c>
      <c r="E141" s="202"/>
      <c r="F141" s="201">
        <f>F135-F137</f>
        <v>0</v>
      </c>
      <c r="G141" s="202"/>
      <c r="H141" s="201">
        <f>H135-H137</f>
        <v>0</v>
      </c>
      <c r="I141" s="202"/>
      <c r="J141" s="201">
        <f>J135-J137</f>
        <v>0</v>
      </c>
    </row>
    <row r="142" spans="1:10" ht="13.5" thickTop="1">
      <c r="A142" s="147"/>
      <c r="B142" s="203"/>
      <c r="C142" s="203"/>
      <c r="D142" s="203"/>
      <c r="E142" s="203"/>
      <c r="F142" s="203"/>
      <c r="G142" s="203"/>
      <c r="H142" s="94"/>
      <c r="I142" s="94"/>
      <c r="J142" s="94"/>
    </row>
    <row r="143" spans="1:10">
      <c r="A143" s="151"/>
      <c r="B143" s="204"/>
      <c r="C143" s="263"/>
      <c r="D143" s="205"/>
      <c r="E143" s="152"/>
      <c r="F143" s="153"/>
      <c r="G143" s="263"/>
      <c r="H143" s="152"/>
      <c r="I143" s="152"/>
      <c r="J143" s="152"/>
    </row>
    <row r="144" spans="1:10" ht="13.5">
      <c r="A144" s="206"/>
      <c r="B144" s="827" t="s">
        <v>9</v>
      </c>
      <c r="C144" s="203"/>
      <c r="D144" s="126" t="s">
        <v>10</v>
      </c>
      <c r="E144" s="567"/>
      <c r="F144" s="127"/>
      <c r="G144" s="203"/>
      <c r="H144" s="126" t="s">
        <v>11</v>
      </c>
      <c r="I144" s="567"/>
      <c r="J144" s="127"/>
    </row>
    <row r="145" spans="1:10" ht="25.5">
      <c r="A145" s="155" t="s">
        <v>132</v>
      </c>
      <c r="B145" s="828"/>
      <c r="C145" s="203"/>
      <c r="D145" s="128" t="s">
        <v>133</v>
      </c>
      <c r="E145" s="591"/>
      <c r="F145" s="129" t="s">
        <v>33</v>
      </c>
      <c r="G145" s="203"/>
      <c r="H145" s="128" t="s">
        <v>134</v>
      </c>
      <c r="I145" s="591"/>
      <c r="J145" s="129" t="s">
        <v>135</v>
      </c>
    </row>
    <row r="146" spans="1:10" ht="13.5" thickBot="1">
      <c r="A146" s="207" t="s">
        <v>141</v>
      </c>
      <c r="B146" s="208">
        <f t="shared" ref="B146:B173" si="10">J146+H146+F146+D146</f>
        <v>0</v>
      </c>
      <c r="C146" s="209"/>
      <c r="D146" s="208">
        <f>D147+D148+D149+D150+D154+D155+D156+D159</f>
        <v>0</v>
      </c>
      <c r="E146" s="209"/>
      <c r="F146" s="208">
        <f>F147+F148+F149+F150+F154+F155+F156+F159</f>
        <v>0</v>
      </c>
      <c r="G146" s="209"/>
      <c r="H146" s="208">
        <f>H147+H148+H149+H150+H154+H155+H156+H159</f>
        <v>0</v>
      </c>
      <c r="I146" s="209"/>
      <c r="J146" s="208">
        <f>J147+J148+J149+J150+J154+J155+J156+J159</f>
        <v>0</v>
      </c>
    </row>
    <row r="147" spans="1:10">
      <c r="A147" s="156" t="s">
        <v>142</v>
      </c>
      <c r="B147" s="210">
        <f t="shared" si="10"/>
        <v>0</v>
      </c>
      <c r="C147" s="209"/>
      <c r="D147" s="592"/>
      <c r="E147" s="209"/>
      <c r="F147" s="592"/>
      <c r="G147" s="209"/>
      <c r="H147" s="592"/>
      <c r="I147" s="209"/>
      <c r="J147" s="592"/>
    </row>
    <row r="148" spans="1:10">
      <c r="A148" s="156" t="s">
        <v>143</v>
      </c>
      <c r="B148" s="210">
        <f t="shared" si="10"/>
        <v>0</v>
      </c>
      <c r="C148" s="209"/>
      <c r="D148" s="592"/>
      <c r="E148" s="209"/>
      <c r="F148" s="592"/>
      <c r="G148" s="209"/>
      <c r="H148" s="592"/>
      <c r="I148" s="209"/>
      <c r="J148" s="592"/>
    </row>
    <row r="149" spans="1:10">
      <c r="A149" s="156" t="s">
        <v>144</v>
      </c>
      <c r="B149" s="210">
        <f t="shared" si="10"/>
        <v>0</v>
      </c>
      <c r="C149" s="209"/>
      <c r="D149" s="592"/>
      <c r="E149" s="209"/>
      <c r="F149" s="592"/>
      <c r="G149" s="209"/>
      <c r="H149" s="592"/>
      <c r="I149" s="209"/>
      <c r="J149" s="592"/>
    </row>
    <row r="150" spans="1:10">
      <c r="A150" s="156" t="s">
        <v>145</v>
      </c>
      <c r="B150" s="211">
        <f t="shared" si="10"/>
        <v>0</v>
      </c>
      <c r="C150" s="209"/>
      <c r="D150" s="212">
        <f>D151+D152+D153</f>
        <v>0</v>
      </c>
      <c r="E150" s="209"/>
      <c r="F150" s="212">
        <f>F151+F152+F153</f>
        <v>0</v>
      </c>
      <c r="G150" s="209"/>
      <c r="H150" s="212">
        <f>H151+H152+H153</f>
        <v>0</v>
      </c>
      <c r="I150" s="209"/>
      <c r="J150" s="212">
        <f>J151+J152+J153</f>
        <v>0</v>
      </c>
    </row>
    <row r="151" spans="1:10">
      <c r="A151" s="156" t="s">
        <v>146</v>
      </c>
      <c r="B151" s="210">
        <f t="shared" si="10"/>
        <v>0</v>
      </c>
      <c r="C151" s="209"/>
      <c r="D151" s="592"/>
      <c r="E151" s="209"/>
      <c r="F151" s="592"/>
      <c r="G151" s="209"/>
      <c r="H151" s="592"/>
      <c r="I151" s="209"/>
      <c r="J151" s="592"/>
    </row>
    <row r="152" spans="1:10">
      <c r="A152" s="156" t="s">
        <v>147</v>
      </c>
      <c r="B152" s="210">
        <f t="shared" si="10"/>
        <v>0</v>
      </c>
      <c r="C152" s="209"/>
      <c r="D152" s="592"/>
      <c r="E152" s="209"/>
      <c r="F152" s="592"/>
      <c r="G152" s="209"/>
      <c r="H152" s="592"/>
      <c r="I152" s="209"/>
      <c r="J152" s="592"/>
    </row>
    <row r="153" spans="1:10">
      <c r="A153" s="156" t="s">
        <v>148</v>
      </c>
      <c r="B153" s="210">
        <f t="shared" si="10"/>
        <v>0</v>
      </c>
      <c r="C153" s="209"/>
      <c r="D153" s="592"/>
      <c r="E153" s="209"/>
      <c r="F153" s="592"/>
      <c r="G153" s="209"/>
      <c r="H153" s="592"/>
      <c r="I153" s="209"/>
      <c r="J153" s="592"/>
    </row>
    <row r="154" spans="1:10">
      <c r="A154" s="156" t="s">
        <v>149</v>
      </c>
      <c r="B154" s="210">
        <f t="shared" si="10"/>
        <v>0</v>
      </c>
      <c r="C154" s="209"/>
      <c r="D154" s="592"/>
      <c r="E154" s="209"/>
      <c r="F154" s="592"/>
      <c r="G154" s="209"/>
      <c r="H154" s="592"/>
      <c r="I154" s="209"/>
      <c r="J154" s="592"/>
    </row>
    <row r="155" spans="1:10">
      <c r="A155" s="156" t="s">
        <v>150</v>
      </c>
      <c r="B155" s="210">
        <f t="shared" si="10"/>
        <v>0</v>
      </c>
      <c r="C155" s="209"/>
      <c r="D155" s="592"/>
      <c r="E155" s="209"/>
      <c r="F155" s="592"/>
      <c r="G155" s="209"/>
      <c r="H155" s="592"/>
      <c r="I155" s="209"/>
      <c r="J155" s="592"/>
    </row>
    <row r="156" spans="1:10">
      <c r="A156" s="156" t="s">
        <v>151</v>
      </c>
      <c r="B156" s="211">
        <f t="shared" si="10"/>
        <v>0</v>
      </c>
      <c r="C156" s="209"/>
      <c r="D156" s="212">
        <f>D157+D158</f>
        <v>0</v>
      </c>
      <c r="E156" s="209"/>
      <c r="F156" s="212">
        <f>F157+F158</f>
        <v>0</v>
      </c>
      <c r="G156" s="209"/>
      <c r="H156" s="212">
        <f>H157+H158</f>
        <v>0</v>
      </c>
      <c r="I156" s="209"/>
      <c r="J156" s="212">
        <f>J157+J158</f>
        <v>0</v>
      </c>
    </row>
    <row r="157" spans="1:10">
      <c r="A157" s="156" t="s">
        <v>152</v>
      </c>
      <c r="B157" s="210">
        <f t="shared" si="10"/>
        <v>0</v>
      </c>
      <c r="C157" s="209"/>
      <c r="D157" s="592"/>
      <c r="E157" s="209"/>
      <c r="F157" s="592"/>
      <c r="G157" s="209"/>
      <c r="H157" s="592"/>
      <c r="I157" s="209"/>
      <c r="J157" s="592"/>
    </row>
    <row r="158" spans="1:10">
      <c r="A158" s="156" t="s">
        <v>153</v>
      </c>
      <c r="B158" s="210">
        <f t="shared" si="10"/>
        <v>0</v>
      </c>
      <c r="C158" s="209"/>
      <c r="D158" s="592"/>
      <c r="E158" s="209"/>
      <c r="F158" s="592"/>
      <c r="G158" s="209"/>
      <c r="H158" s="592"/>
      <c r="I158" s="209"/>
      <c r="J158" s="592"/>
    </row>
    <row r="159" spans="1:10">
      <c r="A159" s="156" t="s">
        <v>15</v>
      </c>
      <c r="B159" s="213">
        <f t="shared" si="10"/>
        <v>0</v>
      </c>
      <c r="C159" s="209"/>
      <c r="D159" s="593"/>
      <c r="E159" s="209"/>
      <c r="F159" s="593"/>
      <c r="G159" s="209"/>
      <c r="H159" s="593"/>
      <c r="I159" s="209"/>
      <c r="J159" s="593"/>
    </row>
    <row r="160" spans="1:10" ht="13.5" thickBot="1">
      <c r="A160" s="214" t="s">
        <v>154</v>
      </c>
      <c r="B160" s="208">
        <f t="shared" si="10"/>
        <v>0</v>
      </c>
      <c r="C160" s="209"/>
      <c r="D160" s="208">
        <f>D161+D162+D163+D164+D168+D169+D170+D173</f>
        <v>0</v>
      </c>
      <c r="E160" s="209"/>
      <c r="F160" s="208">
        <f>F161+F162+F163+F164+F168+F169+F170+F173</f>
        <v>0</v>
      </c>
      <c r="G160" s="209"/>
      <c r="H160" s="208">
        <f>H161+H162+H163+H164+H168+H169+H170+H173</f>
        <v>0</v>
      </c>
      <c r="I160" s="209"/>
      <c r="J160" s="208">
        <f>J161+J162+J163+J164+J168+J169+J170+J173</f>
        <v>0</v>
      </c>
    </row>
    <row r="161" spans="1:10">
      <c r="A161" s="156" t="s">
        <v>155</v>
      </c>
      <c r="B161" s="215">
        <f t="shared" si="10"/>
        <v>0</v>
      </c>
      <c r="C161" s="209"/>
      <c r="D161" s="592"/>
      <c r="E161" s="209"/>
      <c r="F161" s="594"/>
      <c r="G161" s="209"/>
      <c r="H161" s="594"/>
      <c r="I161" s="209"/>
      <c r="J161" s="594"/>
    </row>
    <row r="162" spans="1:10">
      <c r="A162" s="156" t="s">
        <v>156</v>
      </c>
      <c r="B162" s="210">
        <f t="shared" si="10"/>
        <v>0</v>
      </c>
      <c r="C162" s="209"/>
      <c r="D162" s="592"/>
      <c r="E162" s="209"/>
      <c r="F162" s="592"/>
      <c r="G162" s="209"/>
      <c r="H162" s="592"/>
      <c r="I162" s="209"/>
      <c r="J162" s="592"/>
    </row>
    <row r="163" spans="1:10">
      <c r="A163" s="156" t="s">
        <v>157</v>
      </c>
      <c r="B163" s="210">
        <f t="shared" si="10"/>
        <v>0</v>
      </c>
      <c r="C163" s="209"/>
      <c r="D163" s="592"/>
      <c r="E163" s="209"/>
      <c r="F163" s="592"/>
      <c r="G163" s="209"/>
      <c r="H163" s="592"/>
      <c r="I163" s="209"/>
      <c r="J163" s="592"/>
    </row>
    <row r="164" spans="1:10">
      <c r="A164" s="156" t="s">
        <v>158</v>
      </c>
      <c r="B164" s="210">
        <f t="shared" si="10"/>
        <v>0</v>
      </c>
      <c r="C164" s="209"/>
      <c r="D164" s="212">
        <f>D165+D166+D167</f>
        <v>0</v>
      </c>
      <c r="E164" s="209"/>
      <c r="F164" s="212">
        <f>F165+F166+F167</f>
        <v>0</v>
      </c>
      <c r="G164" s="209"/>
      <c r="H164" s="212">
        <f>H165+H166+H167</f>
        <v>0</v>
      </c>
      <c r="I164" s="209"/>
      <c r="J164" s="212">
        <f>J165+J166+J167</f>
        <v>0</v>
      </c>
    </row>
    <row r="165" spans="1:10">
      <c r="A165" s="156" t="s">
        <v>159</v>
      </c>
      <c r="B165" s="210">
        <f t="shared" si="10"/>
        <v>0</v>
      </c>
      <c r="C165" s="209"/>
      <c r="D165" s="592"/>
      <c r="E165" s="209"/>
      <c r="F165" s="592"/>
      <c r="G165" s="209"/>
      <c r="H165" s="592"/>
      <c r="I165" s="209"/>
      <c r="J165" s="592"/>
    </row>
    <row r="166" spans="1:10">
      <c r="A166" s="156" t="s">
        <v>160</v>
      </c>
      <c r="B166" s="210">
        <f t="shared" si="10"/>
        <v>0</v>
      </c>
      <c r="C166" s="209"/>
      <c r="D166" s="592"/>
      <c r="E166" s="209"/>
      <c r="F166" s="592"/>
      <c r="G166" s="209"/>
      <c r="H166" s="592"/>
      <c r="I166" s="209"/>
      <c r="J166" s="592"/>
    </row>
    <row r="167" spans="1:10">
      <c r="A167" s="156" t="s">
        <v>161</v>
      </c>
      <c r="B167" s="210">
        <f t="shared" si="10"/>
        <v>0</v>
      </c>
      <c r="C167" s="209"/>
      <c r="D167" s="592"/>
      <c r="E167" s="209"/>
      <c r="F167" s="592"/>
      <c r="G167" s="209"/>
      <c r="H167" s="592"/>
      <c r="I167" s="209"/>
      <c r="J167" s="592"/>
    </row>
    <row r="168" spans="1:10">
      <c r="A168" s="156" t="s">
        <v>162</v>
      </c>
      <c r="B168" s="210">
        <f t="shared" si="10"/>
        <v>0</v>
      </c>
      <c r="C168" s="209"/>
      <c r="D168" s="592"/>
      <c r="E168" s="209"/>
      <c r="F168" s="592"/>
      <c r="G168" s="209"/>
      <c r="H168" s="592"/>
      <c r="I168" s="209"/>
      <c r="J168" s="592"/>
    </row>
    <row r="169" spans="1:10">
      <c r="A169" s="156" t="s">
        <v>163</v>
      </c>
      <c r="B169" s="210">
        <f t="shared" si="10"/>
        <v>0</v>
      </c>
      <c r="C169" s="209"/>
      <c r="D169" s="592"/>
      <c r="E169" s="209"/>
      <c r="F169" s="592"/>
      <c r="G169" s="209"/>
      <c r="H169" s="592"/>
      <c r="I169" s="209"/>
      <c r="J169" s="592"/>
    </row>
    <row r="170" spans="1:10">
      <c r="A170" s="156" t="s">
        <v>164</v>
      </c>
      <c r="B170" s="210">
        <f t="shared" si="10"/>
        <v>0</v>
      </c>
      <c r="C170" s="209"/>
      <c r="D170" s="212">
        <f>D171+D172</f>
        <v>0</v>
      </c>
      <c r="E170" s="209"/>
      <c r="F170" s="212">
        <f>F171+F172</f>
        <v>0</v>
      </c>
      <c r="G170" s="209"/>
      <c r="H170" s="212">
        <f>H171+H172</f>
        <v>0</v>
      </c>
      <c r="I170" s="209"/>
      <c r="J170" s="212">
        <f>J171+J172</f>
        <v>0</v>
      </c>
    </row>
    <row r="171" spans="1:10">
      <c r="A171" s="156" t="s">
        <v>165</v>
      </c>
      <c r="B171" s="210">
        <f t="shared" si="10"/>
        <v>0</v>
      </c>
      <c r="C171" s="209"/>
      <c r="D171" s="592"/>
      <c r="E171" s="209"/>
      <c r="F171" s="592"/>
      <c r="G171" s="209"/>
      <c r="H171" s="592"/>
      <c r="I171" s="209"/>
      <c r="J171" s="592"/>
    </row>
    <row r="172" spans="1:10">
      <c r="A172" s="156" t="s">
        <v>166</v>
      </c>
      <c r="B172" s="210">
        <f t="shared" si="10"/>
        <v>0</v>
      </c>
      <c r="C172" s="209"/>
      <c r="D172" s="592"/>
      <c r="E172" s="209"/>
      <c r="F172" s="592"/>
      <c r="G172" s="209"/>
      <c r="H172" s="592"/>
      <c r="I172" s="209"/>
      <c r="J172" s="592"/>
    </row>
    <row r="173" spans="1:10">
      <c r="A173" s="156" t="s">
        <v>167</v>
      </c>
      <c r="B173" s="216">
        <f t="shared" si="10"/>
        <v>0</v>
      </c>
      <c r="C173" s="209"/>
      <c r="D173" s="595"/>
      <c r="E173" s="209"/>
      <c r="F173" s="595"/>
      <c r="G173" s="209"/>
      <c r="H173" s="595"/>
      <c r="I173" s="209"/>
      <c r="J173" s="595"/>
    </row>
    <row r="174" spans="1:10" ht="13.5" thickBot="1">
      <c r="A174" s="207" t="s">
        <v>168</v>
      </c>
      <c r="B174" s="208">
        <f>D174+F174+H174+J174</f>
        <v>0</v>
      </c>
      <c r="C174" s="209"/>
      <c r="D174" s="596"/>
      <c r="E174" s="209"/>
      <c r="F174" s="596"/>
      <c r="G174" s="209"/>
      <c r="H174" s="596"/>
      <c r="I174" s="209"/>
      <c r="J174" s="596"/>
    </row>
    <row r="175" spans="1:10">
      <c r="A175" s="155"/>
      <c r="B175" s="209"/>
      <c r="C175" s="209"/>
      <c r="D175" s="209"/>
      <c r="E175" s="209"/>
      <c r="F175" s="209"/>
      <c r="G175" s="209"/>
      <c r="H175" s="209"/>
      <c r="I175" s="209"/>
      <c r="J175" s="209"/>
    </row>
    <row r="176" spans="1:10" ht="13.5" thickBot="1">
      <c r="A176" s="155" t="s">
        <v>169</v>
      </c>
      <c r="B176" s="217">
        <f>D176+F176+H176+J176</f>
        <v>0</v>
      </c>
      <c r="C176" s="209"/>
      <c r="D176" s="217">
        <f>D146+D160+D174</f>
        <v>0</v>
      </c>
      <c r="E176" s="209"/>
      <c r="F176" s="217">
        <f>F146+F160+F174</f>
        <v>0</v>
      </c>
      <c r="G176" s="209"/>
      <c r="H176" s="217">
        <f>H146+H160+H174</f>
        <v>0</v>
      </c>
      <c r="I176" s="209"/>
      <c r="J176" s="217">
        <f>J146+J160+J174</f>
        <v>0</v>
      </c>
    </row>
    <row r="177" spans="1:11" ht="13.5" thickTop="1">
      <c r="A177" s="156"/>
      <c r="B177" s="218"/>
      <c r="C177" s="218"/>
      <c r="D177" s="218"/>
      <c r="E177" s="218"/>
      <c r="F177" s="218"/>
      <c r="G177" s="218"/>
      <c r="H177" s="218"/>
      <c r="I177" s="218"/>
      <c r="J177" s="218"/>
    </row>
    <row r="178" spans="1:11">
      <c r="A178" s="207" t="s">
        <v>170</v>
      </c>
      <c r="B178" s="219">
        <f>J178+H178+F178+D178</f>
        <v>0</v>
      </c>
      <c r="C178" s="597"/>
      <c r="D178" s="220">
        <f>D179+D180</f>
        <v>0</v>
      </c>
      <c r="E178" s="221"/>
      <c r="F178" s="220">
        <f>F179+F180</f>
        <v>0</v>
      </c>
      <c r="G178" s="221"/>
      <c r="H178" s="220">
        <f>H179+H180</f>
        <v>0</v>
      </c>
      <c r="I178" s="221"/>
      <c r="J178" s="220">
        <f>J179+J180</f>
        <v>0</v>
      </c>
    </row>
    <row r="179" spans="1:11">
      <c r="A179" s="156" t="s">
        <v>171</v>
      </c>
      <c r="B179" s="222">
        <f>J179+H179+F179+D179</f>
        <v>0</v>
      </c>
      <c r="C179" s="597"/>
      <c r="D179" s="562"/>
      <c r="E179" s="597"/>
      <c r="F179" s="562"/>
      <c r="G179" s="597"/>
      <c r="H179" s="562"/>
      <c r="I179" s="597"/>
      <c r="J179" s="562"/>
    </row>
    <row r="180" spans="1:11">
      <c r="A180" s="156" t="s">
        <v>172</v>
      </c>
      <c r="B180" s="211">
        <f>J180+H180+F180+D180</f>
        <v>0</v>
      </c>
      <c r="C180" s="209"/>
      <c r="D180" s="598"/>
      <c r="E180" s="209"/>
      <c r="F180" s="598"/>
      <c r="G180" s="209"/>
      <c r="H180" s="598"/>
      <c r="I180" s="209"/>
      <c r="J180" s="598"/>
    </row>
    <row r="181" spans="1:11">
      <c r="A181" s="156"/>
      <c r="B181" s="209"/>
      <c r="C181" s="209"/>
      <c r="D181" s="655"/>
      <c r="E181" s="655"/>
      <c r="F181" s="655"/>
      <c r="G181" s="655"/>
      <c r="H181" s="655"/>
      <c r="I181" s="655"/>
      <c r="J181" s="655"/>
    </row>
    <row r="182" spans="1:11" ht="13.5" thickBot="1">
      <c r="A182" s="155" t="s">
        <v>173</v>
      </c>
      <c r="B182" s="223">
        <f>D182+F182+H182+J182</f>
        <v>0</v>
      </c>
      <c r="C182" s="224"/>
      <c r="D182" s="223">
        <f>D176-D178</f>
        <v>0</v>
      </c>
      <c r="E182" s="224"/>
      <c r="F182" s="223">
        <f>F176-F178</f>
        <v>0</v>
      </c>
      <c r="G182" s="224"/>
      <c r="H182" s="223">
        <f>H176-H178</f>
        <v>0</v>
      </c>
      <c r="I182" s="224"/>
      <c r="J182" s="223">
        <f>J176-J178</f>
        <v>0</v>
      </c>
    </row>
    <row r="183" spans="1:11" ht="13.5" thickTop="1">
      <c r="A183" s="207"/>
      <c r="B183" s="225"/>
      <c r="C183" s="225"/>
      <c r="D183" s="225"/>
      <c r="E183" s="226"/>
      <c r="F183" s="226"/>
      <c r="G183" s="225"/>
      <c r="H183" s="226"/>
      <c r="I183" s="226"/>
      <c r="J183" s="227"/>
    </row>
    <row r="184" spans="1:11">
      <c r="A184" s="164"/>
      <c r="B184" s="203"/>
      <c r="C184" s="203"/>
      <c r="D184" s="203"/>
      <c r="E184" s="203"/>
      <c r="F184" s="203"/>
      <c r="G184" s="203"/>
      <c r="H184" s="203"/>
      <c r="I184" s="203"/>
      <c r="J184" s="153"/>
    </row>
    <row r="185" spans="1:11" ht="13.5">
      <c r="A185" s="164"/>
      <c r="B185" s="827" t="s">
        <v>9</v>
      </c>
      <c r="C185" s="203"/>
      <c r="D185" s="126" t="s">
        <v>10</v>
      </c>
      <c r="E185" s="567"/>
      <c r="F185" s="127"/>
      <c r="G185" s="203"/>
      <c r="H185" s="126" t="s">
        <v>11</v>
      </c>
      <c r="I185" s="567"/>
      <c r="J185" s="127"/>
    </row>
    <row r="186" spans="1:11" ht="25.5" customHeight="1">
      <c r="A186" s="155" t="s">
        <v>174</v>
      </c>
      <c r="B186" s="828"/>
      <c r="C186" s="203"/>
      <c r="D186" s="128" t="s">
        <v>32</v>
      </c>
      <c r="E186" s="568"/>
      <c r="F186" s="129" t="s">
        <v>33</v>
      </c>
      <c r="G186" s="203"/>
      <c r="H186" s="128" t="s">
        <v>32</v>
      </c>
      <c r="I186" s="568"/>
      <c r="J186" s="129" t="s">
        <v>33</v>
      </c>
    </row>
    <row r="187" spans="1:11" ht="13.5" thickBot="1">
      <c r="A187" s="228" t="s">
        <v>175</v>
      </c>
      <c r="B187" s="184">
        <f t="shared" ref="B187:B219" si="11">D187+F187+H187+J187</f>
        <v>0</v>
      </c>
      <c r="D187" s="184">
        <f>SUM(D188+D189)</f>
        <v>0</v>
      </c>
      <c r="F187" s="184">
        <f>SUM(F188+F189)</f>
        <v>0</v>
      </c>
      <c r="H187" s="184">
        <f>SUM(H188+H189)</f>
        <v>0</v>
      </c>
      <c r="J187" s="184">
        <f>SUM(J188+J189)</f>
        <v>0</v>
      </c>
    </row>
    <row r="188" spans="1:11">
      <c r="A188" s="156" t="s">
        <v>176</v>
      </c>
      <c r="B188" s="170">
        <f t="shared" si="11"/>
        <v>0</v>
      </c>
      <c r="D188" s="584"/>
      <c r="F188" s="584"/>
      <c r="H188" s="584"/>
      <c r="J188" s="584"/>
    </row>
    <row r="189" spans="1:11">
      <c r="A189" s="156" t="s">
        <v>177</v>
      </c>
      <c r="B189" s="171">
        <f t="shared" si="11"/>
        <v>0</v>
      </c>
      <c r="D189" s="585"/>
      <c r="F189" s="585"/>
      <c r="H189" s="585"/>
      <c r="J189" s="585"/>
    </row>
    <row r="190" spans="1:11" ht="13.5" thickBot="1">
      <c r="A190" s="228" t="s">
        <v>178</v>
      </c>
      <c r="B190" s="169">
        <f t="shared" si="11"/>
        <v>0</v>
      </c>
      <c r="D190" s="169">
        <f>D191+D194</f>
        <v>0</v>
      </c>
      <c r="F190" s="169">
        <f>F191+F194</f>
        <v>0</v>
      </c>
      <c r="G190" s="170"/>
      <c r="H190" s="169">
        <f>H194</f>
        <v>0</v>
      </c>
      <c r="J190" s="169">
        <f>J194</f>
        <v>0</v>
      </c>
      <c r="K190" s="147"/>
    </row>
    <row r="191" spans="1:11" ht="13.5" thickBot="1">
      <c r="A191" s="228" t="s">
        <v>179</v>
      </c>
      <c r="B191" s="180">
        <f>SUM(D191,F191,H191,J191)</f>
        <v>0</v>
      </c>
      <c r="C191" s="170"/>
      <c r="D191" s="659">
        <f>D192+D193</f>
        <v>0</v>
      </c>
      <c r="E191" s="192"/>
      <c r="F191" s="659">
        <f>F192+F193</f>
        <v>0</v>
      </c>
      <c r="G191" s="170"/>
      <c r="H191" s="656" t="s">
        <v>406</v>
      </c>
      <c r="I191" s="170"/>
      <c r="J191" s="656" t="s">
        <v>406</v>
      </c>
    </row>
    <row r="192" spans="1:11" ht="13.5" thickBot="1">
      <c r="A192" s="156" t="s">
        <v>180</v>
      </c>
      <c r="B192" s="180">
        <f>SUM(D192,F192,H192,J192)</f>
        <v>0</v>
      </c>
      <c r="C192" s="170"/>
      <c r="D192" s="584"/>
      <c r="E192" s="170"/>
      <c r="F192" s="584"/>
      <c r="G192" s="170"/>
      <c r="H192" s="656" t="s">
        <v>406</v>
      </c>
      <c r="I192" s="170"/>
      <c r="J192" s="656" t="s">
        <v>406</v>
      </c>
    </row>
    <row r="193" spans="1:10">
      <c r="A193" s="156" t="s">
        <v>181</v>
      </c>
      <c r="B193" s="180">
        <f>SUM(D193,F193,H193,J193)</f>
        <v>0</v>
      </c>
      <c r="C193" s="170"/>
      <c r="D193" s="585"/>
      <c r="E193" s="170"/>
      <c r="F193" s="585"/>
      <c r="G193" s="170"/>
      <c r="H193" s="656" t="s">
        <v>406</v>
      </c>
      <c r="I193" s="170"/>
      <c r="J193" s="656" t="s">
        <v>406</v>
      </c>
    </row>
    <row r="194" spans="1:10">
      <c r="A194" s="228" t="s">
        <v>182</v>
      </c>
      <c r="B194" s="172">
        <f t="shared" si="11"/>
        <v>0</v>
      </c>
      <c r="C194" s="170"/>
      <c r="D194" s="659">
        <f>D195+D196</f>
        <v>0</v>
      </c>
      <c r="E194" s="192"/>
      <c r="F194" s="659">
        <f>F195+F196</f>
        <v>0</v>
      </c>
      <c r="G194" s="192"/>
      <c r="H194" s="659">
        <f>H195+H196</f>
        <v>0</v>
      </c>
      <c r="I194" s="192"/>
      <c r="J194" s="659">
        <f>J195+J196</f>
        <v>0</v>
      </c>
    </row>
    <row r="195" spans="1:10">
      <c r="A195" s="229" t="s">
        <v>183</v>
      </c>
      <c r="B195" s="170">
        <f t="shared" si="11"/>
        <v>0</v>
      </c>
      <c r="C195" s="170"/>
      <c r="D195" s="584"/>
      <c r="E195" s="170"/>
      <c r="F195" s="584"/>
      <c r="G195" s="170"/>
      <c r="H195" s="584"/>
      <c r="I195" s="170"/>
      <c r="J195" s="584"/>
    </row>
    <row r="196" spans="1:10">
      <c r="A196" s="229" t="s">
        <v>184</v>
      </c>
      <c r="B196" s="171">
        <f t="shared" si="11"/>
        <v>0</v>
      </c>
      <c r="C196" s="170"/>
      <c r="D196" s="585"/>
      <c r="E196" s="170"/>
      <c r="F196" s="585"/>
      <c r="G196" s="170"/>
      <c r="H196" s="585"/>
      <c r="I196" s="170"/>
      <c r="J196" s="585"/>
    </row>
    <row r="197" spans="1:10" ht="13.5" thickBot="1">
      <c r="A197" s="228" t="s">
        <v>185</v>
      </c>
      <c r="B197" s="169">
        <f t="shared" si="11"/>
        <v>0</v>
      </c>
      <c r="C197" s="170"/>
      <c r="D197" s="169">
        <f>D198+D199</f>
        <v>0</v>
      </c>
      <c r="E197" s="170"/>
      <c r="F197" s="169">
        <f>F198+F199</f>
        <v>0</v>
      </c>
      <c r="G197" s="170"/>
      <c r="H197" s="169">
        <f>H198+H199</f>
        <v>0</v>
      </c>
      <c r="I197" s="170"/>
      <c r="J197" s="169">
        <f>J198+J199</f>
        <v>0</v>
      </c>
    </row>
    <row r="198" spans="1:10">
      <c r="A198" s="229" t="s">
        <v>186</v>
      </c>
      <c r="B198" s="170">
        <f t="shared" si="11"/>
        <v>0</v>
      </c>
      <c r="C198" s="170"/>
      <c r="D198" s="584"/>
      <c r="E198" s="170"/>
      <c r="F198" s="584"/>
      <c r="G198" s="170"/>
      <c r="H198" s="584"/>
      <c r="I198" s="170"/>
      <c r="J198" s="584"/>
    </row>
    <row r="199" spans="1:10">
      <c r="A199" s="229" t="s">
        <v>187</v>
      </c>
      <c r="B199" s="171">
        <f t="shared" si="11"/>
        <v>0</v>
      </c>
      <c r="C199" s="170"/>
      <c r="D199" s="585"/>
      <c r="E199" s="170"/>
      <c r="F199" s="585"/>
      <c r="G199" s="170"/>
      <c r="H199" s="585"/>
      <c r="I199" s="170"/>
      <c r="J199" s="585"/>
    </row>
    <row r="200" spans="1:10" ht="13.5" thickBot="1">
      <c r="A200" s="228" t="s">
        <v>188</v>
      </c>
      <c r="B200" s="169">
        <f t="shared" si="11"/>
        <v>0</v>
      </c>
      <c r="C200" s="170"/>
      <c r="D200" s="169">
        <f>D201+D208</f>
        <v>0</v>
      </c>
      <c r="E200" s="170"/>
      <c r="F200" s="169">
        <f>F201+F208</f>
        <v>0</v>
      </c>
      <c r="G200" s="170"/>
      <c r="H200" s="169">
        <f>H201+H208</f>
        <v>0</v>
      </c>
      <c r="I200" s="170"/>
      <c r="J200" s="169">
        <f>J201+J208</f>
        <v>0</v>
      </c>
    </row>
    <row r="201" spans="1:10">
      <c r="A201" s="229" t="s">
        <v>189</v>
      </c>
      <c r="B201" s="172">
        <f t="shared" si="11"/>
        <v>0</v>
      </c>
      <c r="C201" s="170"/>
      <c r="D201" s="172">
        <f>SUM(D202:D207)</f>
        <v>0</v>
      </c>
      <c r="E201" s="170"/>
      <c r="F201" s="172">
        <f>SUM(F202:F207)</f>
        <v>0</v>
      </c>
      <c r="G201" s="170"/>
      <c r="H201" s="172">
        <f>SUM(H202:H207)</f>
        <v>0</v>
      </c>
      <c r="I201" s="170"/>
      <c r="J201" s="172">
        <f>SUM(J202:J207)</f>
        <v>0</v>
      </c>
    </row>
    <row r="202" spans="1:10">
      <c r="A202" s="599" t="s">
        <v>825</v>
      </c>
      <c r="B202" s="170">
        <f t="shared" si="11"/>
        <v>0</v>
      </c>
      <c r="D202" s="584"/>
      <c r="F202" s="584"/>
      <c r="G202" s="170"/>
      <c r="H202" s="584"/>
      <c r="J202" s="584"/>
    </row>
    <row r="203" spans="1:10">
      <c r="A203" s="600"/>
      <c r="B203" s="171">
        <f t="shared" si="11"/>
        <v>0</v>
      </c>
      <c r="D203" s="585"/>
      <c r="F203" s="585"/>
      <c r="H203" s="585"/>
      <c r="J203" s="585"/>
    </row>
    <row r="204" spans="1:10">
      <c r="A204" s="600"/>
      <c r="B204" s="171">
        <f t="shared" si="11"/>
        <v>0</v>
      </c>
      <c r="D204" s="585"/>
      <c r="F204" s="585"/>
      <c r="H204" s="585"/>
      <c r="J204" s="585"/>
    </row>
    <row r="205" spans="1:10">
      <c r="A205" s="600"/>
      <c r="B205" s="171">
        <f t="shared" si="11"/>
        <v>0</v>
      </c>
      <c r="D205" s="585"/>
      <c r="F205" s="585"/>
      <c r="H205" s="585"/>
      <c r="J205" s="585"/>
    </row>
    <row r="206" spans="1:10">
      <c r="A206" s="600"/>
      <c r="B206" s="171">
        <f t="shared" si="11"/>
        <v>0</v>
      </c>
      <c r="D206" s="585"/>
      <c r="F206" s="585"/>
      <c r="H206" s="585"/>
      <c r="J206" s="585"/>
    </row>
    <row r="207" spans="1:10">
      <c r="A207" s="600"/>
      <c r="B207" s="171">
        <f t="shared" si="11"/>
        <v>0</v>
      </c>
      <c r="D207" s="585"/>
      <c r="F207" s="585"/>
      <c r="H207" s="585"/>
      <c r="J207" s="585"/>
    </row>
    <row r="208" spans="1:10">
      <c r="A208" s="229" t="s">
        <v>190</v>
      </c>
      <c r="B208" s="172">
        <f t="shared" si="11"/>
        <v>0</v>
      </c>
      <c r="D208" s="172">
        <f>SUM(D209:D219)</f>
        <v>0</v>
      </c>
      <c r="F208" s="172">
        <f>SUM(F209:F219)</f>
        <v>0</v>
      </c>
      <c r="H208" s="172">
        <f>SUM(H209:H219)</f>
        <v>0</v>
      </c>
      <c r="J208" s="172">
        <f>SUM(J209:J219)</f>
        <v>0</v>
      </c>
    </row>
    <row r="209" spans="1:10">
      <c r="A209" s="601" t="s">
        <v>825</v>
      </c>
      <c r="B209" s="170">
        <f t="shared" si="11"/>
        <v>0</v>
      </c>
      <c r="D209" s="584"/>
      <c r="F209" s="584"/>
      <c r="H209" s="584"/>
      <c r="J209" s="584"/>
    </row>
    <row r="210" spans="1:10">
      <c r="A210" s="600"/>
      <c r="B210" s="171">
        <f t="shared" si="11"/>
        <v>0</v>
      </c>
      <c r="D210" s="585"/>
      <c r="F210" s="585"/>
      <c r="H210" s="585"/>
      <c r="J210" s="585"/>
    </row>
    <row r="211" spans="1:10">
      <c r="A211" s="600"/>
      <c r="B211" s="171">
        <f t="shared" si="11"/>
        <v>0</v>
      </c>
      <c r="D211" s="585"/>
      <c r="F211" s="585"/>
      <c r="H211" s="585"/>
      <c r="J211" s="585"/>
    </row>
    <row r="212" spans="1:10">
      <c r="A212" s="600"/>
      <c r="B212" s="171">
        <f t="shared" si="11"/>
        <v>0</v>
      </c>
      <c r="D212" s="585"/>
      <c r="F212" s="585"/>
      <c r="H212" s="585"/>
      <c r="J212" s="585"/>
    </row>
    <row r="213" spans="1:10">
      <c r="A213" s="600"/>
      <c r="B213" s="171">
        <f t="shared" si="11"/>
        <v>0</v>
      </c>
      <c r="D213" s="585"/>
      <c r="F213" s="585"/>
      <c r="H213" s="585"/>
      <c r="J213" s="585"/>
    </row>
    <row r="214" spans="1:10">
      <c r="A214" s="600"/>
      <c r="B214" s="170">
        <f t="shared" si="11"/>
        <v>0</v>
      </c>
      <c r="D214" s="584"/>
      <c r="F214" s="584"/>
      <c r="H214" s="584"/>
      <c r="J214" s="584"/>
    </row>
    <row r="215" spans="1:10">
      <c r="A215" s="600"/>
      <c r="B215" s="171">
        <f t="shared" si="11"/>
        <v>0</v>
      </c>
      <c r="D215" s="585"/>
      <c r="F215" s="585"/>
      <c r="H215" s="585"/>
      <c r="J215" s="585"/>
    </row>
    <row r="216" spans="1:10">
      <c r="A216" s="600"/>
      <c r="B216" s="171">
        <f t="shared" si="11"/>
        <v>0</v>
      </c>
      <c r="D216" s="585"/>
      <c r="F216" s="585"/>
      <c r="H216" s="585"/>
      <c r="J216" s="585"/>
    </row>
    <row r="217" spans="1:10">
      <c r="A217" s="600"/>
      <c r="B217" s="171">
        <f t="shared" si="11"/>
        <v>0</v>
      </c>
      <c r="D217" s="585"/>
      <c r="F217" s="585"/>
      <c r="H217" s="585"/>
      <c r="J217" s="585"/>
    </row>
    <row r="218" spans="1:10">
      <c r="A218" s="600"/>
      <c r="B218" s="171">
        <f t="shared" si="11"/>
        <v>0</v>
      </c>
      <c r="D218" s="585"/>
      <c r="F218" s="585"/>
      <c r="H218" s="585"/>
      <c r="J218" s="585"/>
    </row>
    <row r="219" spans="1:10">
      <c r="A219" s="600"/>
      <c r="B219" s="171">
        <f t="shared" si="11"/>
        <v>0</v>
      </c>
      <c r="D219" s="585"/>
      <c r="F219" s="585"/>
      <c r="H219" s="585"/>
      <c r="J219" s="585"/>
    </row>
    <row r="220" spans="1:10">
      <c r="A220" s="653"/>
      <c r="B220" s="164"/>
      <c r="C220" s="164"/>
      <c r="D220" s="654"/>
      <c r="E220" s="164"/>
      <c r="F220" s="654"/>
      <c r="G220" s="164"/>
      <c r="H220" s="654"/>
      <c r="I220" s="164"/>
      <c r="J220" s="654"/>
    </row>
    <row r="221" spans="1:10" ht="13.5" thickBot="1">
      <c r="A221" s="230" t="s">
        <v>191</v>
      </c>
      <c r="B221" s="201">
        <f>D221+F221+H221+J221</f>
        <v>0</v>
      </c>
      <c r="C221" s="202"/>
      <c r="D221" s="201">
        <f>D187+D190+D197+D200</f>
        <v>0</v>
      </c>
      <c r="E221" s="202"/>
      <c r="F221" s="201">
        <f>F187+F190+F197+F200</f>
        <v>0</v>
      </c>
      <c r="G221" s="202"/>
      <c r="H221" s="201">
        <f>H187+H190+H197+H200</f>
        <v>0</v>
      </c>
      <c r="I221" s="202"/>
      <c r="J221" s="201">
        <f>J187+J190+J197+J200</f>
        <v>0</v>
      </c>
    </row>
    <row r="222" spans="1:10" ht="13.5" thickTop="1">
      <c r="B222" s="94"/>
      <c r="C222" s="203"/>
      <c r="D222" s="94"/>
      <c r="E222" s="203"/>
      <c r="F222" s="94"/>
      <c r="G222" s="203"/>
      <c r="H222" s="94"/>
      <c r="I222" s="203"/>
      <c r="J222" s="94"/>
    </row>
    <row r="223" spans="1:10">
      <c r="B223" s="94"/>
      <c r="C223" s="203"/>
      <c r="D223" s="94"/>
      <c r="E223" s="203"/>
      <c r="F223" s="94"/>
      <c r="G223" s="203"/>
      <c r="H223" s="94"/>
      <c r="I223" s="203"/>
      <c r="J223" s="94"/>
    </row>
    <row r="224" spans="1:10" ht="13.5">
      <c r="A224" s="231"/>
      <c r="B224" s="827" t="s">
        <v>9</v>
      </c>
      <c r="C224" s="203"/>
      <c r="D224" s="126" t="s">
        <v>10</v>
      </c>
      <c r="E224" s="567"/>
      <c r="F224" s="127"/>
      <c r="G224" s="203"/>
      <c r="H224" s="126" t="s">
        <v>11</v>
      </c>
      <c r="I224" s="567"/>
      <c r="J224" s="127"/>
    </row>
    <row r="225" spans="1:10" ht="25.5">
      <c r="A225" s="155" t="s">
        <v>192</v>
      </c>
      <c r="B225" s="828"/>
      <c r="C225" s="203"/>
      <c r="D225" s="128" t="s">
        <v>193</v>
      </c>
      <c r="E225" s="568"/>
      <c r="F225" s="129" t="s">
        <v>194</v>
      </c>
      <c r="G225" s="203"/>
      <c r="H225" s="128" t="s">
        <v>193</v>
      </c>
      <c r="I225" s="568"/>
      <c r="J225" s="129" t="s">
        <v>194</v>
      </c>
    </row>
    <row r="226" spans="1:10" ht="13.5" thickBot="1">
      <c r="A226" s="229" t="s">
        <v>195</v>
      </c>
      <c r="B226" s="169">
        <f t="shared" ref="B226:B237" si="12">D226+F226+H226+J226</f>
        <v>0</v>
      </c>
      <c r="D226" s="169">
        <f>D227+D228+D229</f>
        <v>0</v>
      </c>
      <c r="E226" s="24"/>
      <c r="F226" s="169">
        <f>F227+F228+F229</f>
        <v>0</v>
      </c>
      <c r="G226" s="164"/>
      <c r="H226" s="169">
        <f>H227+H228+H229</f>
        <v>0</v>
      </c>
      <c r="I226" s="24"/>
      <c r="J226" s="169">
        <f>J227+J228+J229</f>
        <v>0</v>
      </c>
    </row>
    <row r="227" spans="1:10">
      <c r="A227" s="229" t="s">
        <v>196</v>
      </c>
      <c r="B227" s="233">
        <f t="shared" si="12"/>
        <v>0</v>
      </c>
      <c r="D227" s="589"/>
      <c r="E227" s="24"/>
      <c r="F227" s="589"/>
      <c r="H227" s="589"/>
      <c r="I227" s="45"/>
      <c r="J227" s="589"/>
    </row>
    <row r="228" spans="1:10">
      <c r="A228" s="229" t="s">
        <v>197</v>
      </c>
      <c r="B228" s="233">
        <f t="shared" si="12"/>
        <v>0</v>
      </c>
      <c r="D228" s="589"/>
      <c r="E228" s="24"/>
      <c r="F228" s="589"/>
      <c r="H228" s="589"/>
      <c r="I228" s="45"/>
      <c r="J228" s="589"/>
    </row>
    <row r="229" spans="1:10">
      <c r="A229" s="229" t="s">
        <v>198</v>
      </c>
      <c r="B229" s="196">
        <f t="shared" si="12"/>
        <v>0</v>
      </c>
      <c r="D229" s="196">
        <f>D230+D231</f>
        <v>0</v>
      </c>
      <c r="E229" s="24"/>
      <c r="F229" s="196">
        <f>F230+F231</f>
        <v>0</v>
      </c>
      <c r="H229" s="196">
        <f>H230+H231</f>
        <v>0</v>
      </c>
      <c r="I229" s="45"/>
      <c r="J229" s="196">
        <f>J230+J231</f>
        <v>0</v>
      </c>
    </row>
    <row r="230" spans="1:10">
      <c r="A230" s="229" t="s">
        <v>199</v>
      </c>
      <c r="B230" s="233">
        <f t="shared" si="12"/>
        <v>0</v>
      </c>
      <c r="D230" s="589"/>
      <c r="E230" s="24"/>
      <c r="F230" s="589"/>
      <c r="H230" s="589"/>
      <c r="I230" s="45"/>
      <c r="J230" s="589"/>
    </row>
    <row r="231" spans="1:10">
      <c r="A231" s="156" t="s">
        <v>200</v>
      </c>
      <c r="B231" s="170">
        <f t="shared" si="12"/>
        <v>0</v>
      </c>
      <c r="D231" s="584"/>
      <c r="E231" s="24"/>
      <c r="F231" s="584"/>
      <c r="H231" s="584"/>
      <c r="I231" s="45"/>
      <c r="J231" s="584"/>
    </row>
    <row r="232" spans="1:10">
      <c r="A232" s="229" t="s">
        <v>201</v>
      </c>
      <c r="B232" s="171">
        <f t="shared" si="12"/>
        <v>0</v>
      </c>
      <c r="C232" s="234"/>
      <c r="D232" s="585"/>
      <c r="E232" s="235"/>
      <c r="F232" s="585"/>
      <c r="G232" s="234"/>
      <c r="H232" s="585"/>
      <c r="I232" s="236"/>
      <c r="J232" s="585"/>
    </row>
    <row r="233" spans="1:10">
      <c r="A233" s="229" t="s">
        <v>202</v>
      </c>
      <c r="B233" s="171">
        <f t="shared" si="12"/>
        <v>0</v>
      </c>
      <c r="C233" s="234"/>
      <c r="D233" s="585"/>
      <c r="E233" s="235"/>
      <c r="F233" s="585"/>
      <c r="G233" s="234"/>
      <c r="H233" s="585"/>
      <c r="I233" s="236"/>
      <c r="J233" s="585"/>
    </row>
    <row r="234" spans="1:10">
      <c r="A234" s="229" t="s">
        <v>203</v>
      </c>
      <c r="B234" s="171">
        <f t="shared" si="12"/>
        <v>0</v>
      </c>
      <c r="C234" s="234"/>
      <c r="D234" s="585"/>
      <c r="E234" s="235"/>
      <c r="F234" s="585"/>
      <c r="G234" s="234"/>
      <c r="H234" s="585"/>
      <c r="I234" s="236"/>
      <c r="J234" s="585"/>
    </row>
    <row r="235" spans="1:10">
      <c r="A235" s="229" t="s">
        <v>204</v>
      </c>
      <c r="B235" s="171">
        <f t="shared" si="12"/>
        <v>0</v>
      </c>
      <c r="C235" s="234"/>
      <c r="D235" s="585"/>
      <c r="E235" s="235"/>
      <c r="F235" s="585"/>
      <c r="G235" s="234"/>
      <c r="H235" s="585"/>
      <c r="I235" s="236"/>
      <c r="J235" s="585"/>
    </row>
    <row r="236" spans="1:10">
      <c r="A236" s="229" t="s">
        <v>205</v>
      </c>
      <c r="B236" s="171">
        <f t="shared" si="12"/>
        <v>0</v>
      </c>
      <c r="C236" s="234"/>
      <c r="D236" s="585"/>
      <c r="E236" s="235"/>
      <c r="F236" s="585"/>
      <c r="G236" s="234"/>
      <c r="H236" s="585"/>
      <c r="I236" s="236"/>
      <c r="J236" s="585"/>
    </row>
    <row r="237" spans="1:10" ht="14.25" customHeight="1">
      <c r="A237" s="229" t="s">
        <v>206</v>
      </c>
      <c r="B237" s="171">
        <f t="shared" si="12"/>
        <v>0</v>
      </c>
      <c r="C237" s="234"/>
      <c r="D237" s="585"/>
      <c r="E237" s="235"/>
      <c r="F237" s="585"/>
      <c r="G237" s="234"/>
      <c r="H237" s="585"/>
      <c r="I237" s="236"/>
      <c r="J237" s="585"/>
    </row>
    <row r="238" spans="1:10" ht="14.25" customHeight="1">
      <c r="A238" s="237" t="s">
        <v>207</v>
      </c>
      <c r="B238" s="238"/>
      <c r="C238" s="566"/>
      <c r="D238" s="238"/>
      <c r="E238" s="238"/>
      <c r="F238" s="239"/>
      <c r="G238" s="602"/>
      <c r="H238" s="238"/>
      <c r="I238" s="238"/>
      <c r="J238" s="239"/>
    </row>
    <row r="239" spans="1:10" ht="14.25" customHeight="1">
      <c r="A239" s="229" t="s">
        <v>208</v>
      </c>
      <c r="B239" s="171">
        <f t="shared" ref="B239:B262" si="13">D239+F239+H239+J239</f>
        <v>0</v>
      </c>
      <c r="C239" s="234"/>
      <c r="D239" s="585"/>
      <c r="E239" s="235"/>
      <c r="F239" s="585"/>
      <c r="G239" s="234"/>
      <c r="H239" s="585"/>
      <c r="I239" s="236"/>
      <c r="J239" s="585"/>
    </row>
    <row r="240" spans="1:10">
      <c r="A240" s="229" t="s">
        <v>209</v>
      </c>
      <c r="B240" s="171">
        <f t="shared" si="13"/>
        <v>0</v>
      </c>
      <c r="C240" s="234"/>
      <c r="D240" s="585"/>
      <c r="E240" s="235"/>
      <c r="F240" s="585"/>
      <c r="G240" s="234"/>
      <c r="H240" s="585"/>
      <c r="I240" s="236"/>
      <c r="J240" s="585"/>
    </row>
    <row r="241" spans="1:10">
      <c r="A241" s="156" t="s">
        <v>210</v>
      </c>
      <c r="B241" s="171">
        <f t="shared" si="13"/>
        <v>0</v>
      </c>
      <c r="C241" s="234"/>
      <c r="D241" s="585"/>
      <c r="E241" s="235"/>
      <c r="F241" s="585"/>
      <c r="G241" s="234"/>
      <c r="H241" s="585"/>
      <c r="I241" s="236"/>
      <c r="J241" s="585"/>
    </row>
    <row r="242" spans="1:10">
      <c r="A242" s="156" t="s">
        <v>211</v>
      </c>
      <c r="B242" s="171">
        <f t="shared" si="13"/>
        <v>0</v>
      </c>
      <c r="C242" s="234"/>
      <c r="D242" s="190">
        <f>D243+D244+D245</f>
        <v>0</v>
      </c>
      <c r="E242" s="235"/>
      <c r="F242" s="190">
        <f>F243+F244+F245</f>
        <v>0</v>
      </c>
      <c r="G242" s="234"/>
      <c r="H242" s="190">
        <f>H243+H244+H245</f>
        <v>0</v>
      </c>
      <c r="I242" s="236"/>
      <c r="J242" s="190">
        <f>J243+J244+J245</f>
        <v>0</v>
      </c>
    </row>
    <row r="243" spans="1:10">
      <c r="A243" s="229" t="s">
        <v>212</v>
      </c>
      <c r="B243" s="171">
        <f t="shared" si="13"/>
        <v>0</v>
      </c>
      <c r="C243" s="234"/>
      <c r="D243" s="585"/>
      <c r="E243" s="235"/>
      <c r="F243" s="585"/>
      <c r="G243" s="234"/>
      <c r="H243" s="585"/>
      <c r="I243" s="236"/>
      <c r="J243" s="585"/>
    </row>
    <row r="244" spans="1:10">
      <c r="A244" s="229" t="s">
        <v>213</v>
      </c>
      <c r="B244" s="171">
        <f t="shared" si="13"/>
        <v>0</v>
      </c>
      <c r="C244" s="234"/>
      <c r="D244" s="585"/>
      <c r="E244" s="235"/>
      <c r="F244" s="585"/>
      <c r="G244" s="234"/>
      <c r="H244" s="585"/>
      <c r="I244" s="236"/>
      <c r="J244" s="585"/>
    </row>
    <row r="245" spans="1:10">
      <c r="A245" s="229" t="s">
        <v>214</v>
      </c>
      <c r="B245" s="171">
        <f t="shared" si="13"/>
        <v>0</v>
      </c>
      <c r="C245" s="234"/>
      <c r="D245" s="585"/>
      <c r="E245" s="235"/>
      <c r="F245" s="585"/>
      <c r="G245" s="234"/>
      <c r="H245" s="585"/>
      <c r="I245" s="236"/>
      <c r="J245" s="585"/>
    </row>
    <row r="246" spans="1:10">
      <c r="A246" s="164" t="s">
        <v>215</v>
      </c>
      <c r="B246" s="171">
        <f t="shared" si="13"/>
        <v>0</v>
      </c>
      <c r="C246" s="234"/>
      <c r="D246" s="190">
        <f>D247+D248+D249</f>
        <v>0</v>
      </c>
      <c r="E246" s="235"/>
      <c r="F246" s="190">
        <f>F247+F248+F249</f>
        <v>0</v>
      </c>
      <c r="G246" s="234"/>
      <c r="H246" s="190">
        <f>H247+H248+H249</f>
        <v>0</v>
      </c>
      <c r="I246" s="236"/>
      <c r="J246" s="190">
        <f>J247+J248+J249</f>
        <v>0</v>
      </c>
    </row>
    <row r="247" spans="1:10">
      <c r="A247" s="229" t="s">
        <v>223</v>
      </c>
      <c r="B247" s="171">
        <f t="shared" si="13"/>
        <v>0</v>
      </c>
      <c r="C247" s="234"/>
      <c r="D247" s="585"/>
      <c r="E247" s="235"/>
      <c r="F247" s="585"/>
      <c r="G247" s="234"/>
      <c r="H247" s="585"/>
      <c r="I247" s="236"/>
      <c r="J247" s="585"/>
    </row>
    <row r="248" spans="1:10">
      <c r="A248" s="229" t="s">
        <v>224</v>
      </c>
      <c r="B248" s="171">
        <f t="shared" si="13"/>
        <v>0</v>
      </c>
      <c r="C248" s="234"/>
      <c r="D248" s="585"/>
      <c r="E248" s="235"/>
      <c r="F248" s="585"/>
      <c r="G248" s="234"/>
      <c r="H248" s="585"/>
      <c r="I248" s="236"/>
      <c r="J248" s="585"/>
    </row>
    <row r="249" spans="1:10">
      <c r="A249" s="229" t="s">
        <v>225</v>
      </c>
      <c r="B249" s="171">
        <f t="shared" si="13"/>
        <v>0</v>
      </c>
      <c r="C249" s="234"/>
      <c r="D249" s="585"/>
      <c r="E249" s="235"/>
      <c r="F249" s="585"/>
      <c r="G249" s="234"/>
      <c r="H249" s="585"/>
      <c r="I249" s="236"/>
      <c r="J249" s="585"/>
    </row>
    <row r="250" spans="1:10">
      <c r="A250" s="164" t="s">
        <v>226</v>
      </c>
      <c r="B250" s="171">
        <f t="shared" si="13"/>
        <v>0</v>
      </c>
      <c r="C250" s="234"/>
      <c r="D250" s="190">
        <f>D251+D252+D253</f>
        <v>0</v>
      </c>
      <c r="E250" s="235"/>
      <c r="F250" s="190">
        <f>F251+F252+F253</f>
        <v>0</v>
      </c>
      <c r="G250" s="234"/>
      <c r="H250" s="190">
        <f>H251+H252+H253</f>
        <v>0</v>
      </c>
      <c r="I250" s="236"/>
      <c r="J250" s="190">
        <f>J251+J252+J253</f>
        <v>0</v>
      </c>
    </row>
    <row r="251" spans="1:10">
      <c r="A251" s="229" t="s">
        <v>227</v>
      </c>
      <c r="B251" s="171">
        <f t="shared" si="13"/>
        <v>0</v>
      </c>
      <c r="C251" s="234"/>
      <c r="D251" s="585"/>
      <c r="E251" s="235"/>
      <c r="F251" s="585"/>
      <c r="G251" s="234"/>
      <c r="H251" s="585"/>
      <c r="I251" s="236"/>
      <c r="J251" s="585"/>
    </row>
    <row r="252" spans="1:10">
      <c r="A252" s="229" t="s">
        <v>228</v>
      </c>
      <c r="B252" s="171">
        <f t="shared" si="13"/>
        <v>0</v>
      </c>
      <c r="C252" s="234"/>
      <c r="D252" s="585"/>
      <c r="E252" s="235"/>
      <c r="F252" s="585"/>
      <c r="G252" s="234"/>
      <c r="H252" s="585"/>
      <c r="I252" s="236"/>
      <c r="J252" s="585"/>
    </row>
    <row r="253" spans="1:10">
      <c r="A253" s="229" t="s">
        <v>229</v>
      </c>
      <c r="B253" s="171">
        <f t="shared" si="13"/>
        <v>0</v>
      </c>
      <c r="C253" s="234"/>
      <c r="D253" s="585"/>
      <c r="E253" s="235"/>
      <c r="F253" s="585"/>
      <c r="G253" s="234"/>
      <c r="H253" s="585"/>
      <c r="I253" s="236"/>
      <c r="J253" s="585"/>
    </row>
    <row r="254" spans="1:10">
      <c r="A254" s="164" t="s">
        <v>230</v>
      </c>
      <c r="B254" s="171">
        <f t="shared" si="13"/>
        <v>0</v>
      </c>
      <c r="C254" s="234"/>
      <c r="D254" s="190">
        <f>D255+D256+D257</f>
        <v>0</v>
      </c>
      <c r="E254" s="235"/>
      <c r="F254" s="190">
        <f>F255+F256+F257</f>
        <v>0</v>
      </c>
      <c r="G254" s="234"/>
      <c r="H254" s="190">
        <f>H255+H256+H257</f>
        <v>0</v>
      </c>
      <c r="I254" s="236"/>
      <c r="J254" s="190">
        <f>J255+J256+J257</f>
        <v>0</v>
      </c>
    </row>
    <row r="255" spans="1:10">
      <c r="A255" s="229" t="s">
        <v>231</v>
      </c>
      <c r="B255" s="171">
        <f t="shared" si="13"/>
        <v>0</v>
      </c>
      <c r="C255" s="234"/>
      <c r="D255" s="585"/>
      <c r="E255" s="235"/>
      <c r="F255" s="585"/>
      <c r="G255" s="234"/>
      <c r="H255" s="585"/>
      <c r="I255" s="236"/>
      <c r="J255" s="585"/>
    </row>
    <row r="256" spans="1:10">
      <c r="A256" s="229" t="s">
        <v>232</v>
      </c>
      <c r="B256" s="171">
        <f t="shared" si="13"/>
        <v>0</v>
      </c>
      <c r="C256" s="234"/>
      <c r="D256" s="585"/>
      <c r="E256" s="235"/>
      <c r="F256" s="585"/>
      <c r="G256" s="234"/>
      <c r="H256" s="585"/>
      <c r="I256" s="236"/>
      <c r="J256" s="585"/>
    </row>
    <row r="257" spans="1:10">
      <c r="A257" s="229" t="s">
        <v>233</v>
      </c>
      <c r="B257" s="171">
        <f t="shared" si="13"/>
        <v>0</v>
      </c>
      <c r="C257" s="234"/>
      <c r="D257" s="585"/>
      <c r="E257" s="235"/>
      <c r="F257" s="585"/>
      <c r="G257" s="234"/>
      <c r="H257" s="585"/>
      <c r="I257" s="236"/>
      <c r="J257" s="585"/>
    </row>
    <row r="258" spans="1:10">
      <c r="A258" s="164" t="s">
        <v>234</v>
      </c>
      <c r="B258" s="171">
        <f t="shared" si="13"/>
        <v>0</v>
      </c>
      <c r="C258" s="234"/>
      <c r="D258" s="585"/>
      <c r="E258" s="235"/>
      <c r="F258" s="585"/>
      <c r="G258" s="234"/>
      <c r="H258" s="585"/>
      <c r="I258" s="236"/>
      <c r="J258" s="585"/>
    </row>
    <row r="259" spans="1:10">
      <c r="A259" s="97" t="s">
        <v>235</v>
      </c>
      <c r="B259" s="171">
        <f t="shared" si="13"/>
        <v>0</v>
      </c>
      <c r="C259" s="234"/>
      <c r="D259" s="190">
        <f>D260+D261+D262</f>
        <v>0</v>
      </c>
      <c r="E259" s="235"/>
      <c r="F259" s="190">
        <f>F260+F261+F262</f>
        <v>0</v>
      </c>
      <c r="G259" s="234"/>
      <c r="H259" s="190">
        <f>H260+H261+H262</f>
        <v>0</v>
      </c>
      <c r="I259" s="236"/>
      <c r="J259" s="190">
        <f>J260+J261+J262</f>
        <v>0</v>
      </c>
    </row>
    <row r="260" spans="1:10">
      <c r="A260" s="229" t="s">
        <v>236</v>
      </c>
      <c r="B260" s="171">
        <f t="shared" si="13"/>
        <v>0</v>
      </c>
      <c r="C260" s="240"/>
      <c r="D260" s="585"/>
      <c r="E260" s="241"/>
      <c r="F260" s="585"/>
      <c r="G260" s="240"/>
      <c r="H260" s="585"/>
      <c r="I260" s="242"/>
      <c r="J260" s="585"/>
    </row>
    <row r="261" spans="1:10">
      <c r="A261" s="229" t="s">
        <v>237</v>
      </c>
      <c r="B261" s="171">
        <f t="shared" si="13"/>
        <v>0</v>
      </c>
      <c r="C261" s="240"/>
      <c r="D261" s="585"/>
      <c r="E261" s="241"/>
      <c r="F261" s="585"/>
      <c r="G261" s="240"/>
      <c r="H261" s="585"/>
      <c r="I261" s="242"/>
      <c r="J261" s="585"/>
    </row>
    <row r="262" spans="1:10">
      <c r="A262" s="229" t="s">
        <v>238</v>
      </c>
      <c r="B262" s="171">
        <f t="shared" si="13"/>
        <v>0</v>
      </c>
      <c r="C262" s="240"/>
      <c r="D262" s="585"/>
      <c r="E262" s="241"/>
      <c r="F262" s="585"/>
      <c r="G262" s="240"/>
      <c r="H262" s="585"/>
      <c r="I262" s="242"/>
      <c r="J262" s="585"/>
    </row>
    <row r="263" spans="1:10">
      <c r="A263" s="155" t="s">
        <v>127</v>
      </c>
      <c r="B263" s="243" t="s">
        <v>825</v>
      </c>
      <c r="C263" s="243"/>
      <c r="D263" s="240"/>
      <c r="E263" s="241"/>
      <c r="F263" s="243"/>
      <c r="G263" s="243"/>
      <c r="H263" s="243"/>
      <c r="I263" s="241"/>
      <c r="J263" s="243"/>
    </row>
    <row r="264" spans="1:10" ht="13.5" thickBot="1">
      <c r="A264" s="229" t="s">
        <v>239</v>
      </c>
      <c r="B264" s="168">
        <f>D264+F264+H264+J264</f>
        <v>0</v>
      </c>
      <c r="C264" s="164"/>
      <c r="D264" s="191">
        <f>D265+D266</f>
        <v>0</v>
      </c>
      <c r="E264" s="45"/>
      <c r="F264" s="191">
        <f>F265+F266</f>
        <v>0</v>
      </c>
      <c r="H264" s="191">
        <f>H265+H266</f>
        <v>0</v>
      </c>
      <c r="I264" s="45"/>
      <c r="J264" s="191">
        <f>J265+J266</f>
        <v>0</v>
      </c>
    </row>
    <row r="265" spans="1:10">
      <c r="A265" s="244" t="s">
        <v>240</v>
      </c>
      <c r="B265" s="233">
        <f>D265+F265+H265+J265</f>
        <v>0</v>
      </c>
      <c r="D265" s="589"/>
      <c r="E265" s="24"/>
      <c r="F265" s="589"/>
      <c r="H265" s="589"/>
      <c r="I265" s="45"/>
      <c r="J265" s="589"/>
    </row>
    <row r="266" spans="1:10">
      <c r="A266" s="229" t="s">
        <v>241</v>
      </c>
      <c r="B266" s="171">
        <f>D266+F266+H266+J266</f>
        <v>0</v>
      </c>
      <c r="C266" s="234"/>
      <c r="D266" s="585"/>
      <c r="E266" s="235"/>
      <c r="F266" s="585"/>
      <c r="G266" s="234"/>
      <c r="H266" s="585"/>
      <c r="I266" s="236"/>
      <c r="J266" s="585"/>
    </row>
    <row r="267" spans="1:10" ht="14.25" customHeight="1">
      <c r="A267" s="229"/>
      <c r="B267" s="164"/>
      <c r="C267" s="164"/>
      <c r="D267" s="666"/>
      <c r="E267" s="667"/>
      <c r="F267" s="486"/>
      <c r="G267" s="654"/>
      <c r="H267" s="668"/>
      <c r="I267" s="667"/>
      <c r="J267" s="668"/>
    </row>
    <row r="268" spans="1:10" ht="13.5" thickBot="1">
      <c r="A268" s="155" t="s">
        <v>242</v>
      </c>
      <c r="B268" s="159">
        <f>D268+F268+H268+J268</f>
        <v>0</v>
      </c>
      <c r="D268" s="201">
        <f>D226+SUM(D232:D237)+D240+D241+D242+D246+D250+D254+D258+D259-D264</f>
        <v>0</v>
      </c>
      <c r="E268" s="158"/>
      <c r="F268" s="201">
        <f>F226+SUM(F232:F237)+F240+F241+F242+F246+F250+F254+F258+F259-F264</f>
        <v>0</v>
      </c>
      <c r="H268" s="201">
        <f>H226+SUM(H232:H237)+H240+H241+H242+H246+H250+H254+H258+H259-H264</f>
        <v>0</v>
      </c>
      <c r="I268" s="158"/>
      <c r="J268" s="201">
        <f>J226+SUM(J232:J237)+J240+J241+J242+J246+J250+J254+J258+J259-J264</f>
        <v>0</v>
      </c>
    </row>
    <row r="269" spans="1:10" ht="13.5" thickTop="1">
      <c r="A269" s="156"/>
      <c r="B269" s="203" t="s">
        <v>825</v>
      </c>
      <c r="C269" s="203"/>
      <c r="D269" s="203"/>
      <c r="E269" s="603"/>
      <c r="F269" s="203"/>
      <c r="G269" s="203"/>
      <c r="H269" s="203"/>
      <c r="I269" s="603"/>
      <c r="J269" s="203"/>
    </row>
    <row r="270" spans="1:10">
      <c r="A270" s="160"/>
      <c r="B270" s="245" t="s">
        <v>825</v>
      </c>
      <c r="C270" s="203"/>
      <c r="D270" s="203"/>
      <c r="E270" s="603"/>
      <c r="F270" s="203"/>
      <c r="G270" s="203"/>
      <c r="H270" s="203"/>
      <c r="I270" s="603"/>
      <c r="J270" s="203"/>
    </row>
    <row r="271" spans="1:10" ht="13.5">
      <c r="A271" s="160"/>
      <c r="B271" s="827" t="s">
        <v>9</v>
      </c>
      <c r="C271" s="203"/>
      <c r="D271" s="126" t="s">
        <v>10</v>
      </c>
      <c r="E271" s="567"/>
      <c r="F271" s="127"/>
      <c r="G271" s="203"/>
      <c r="H271" s="126" t="s">
        <v>11</v>
      </c>
      <c r="I271" s="567"/>
      <c r="J271" s="127"/>
    </row>
    <row r="272" spans="1:10" ht="25.5">
      <c r="A272" s="155" t="s">
        <v>243</v>
      </c>
      <c r="B272" s="828"/>
      <c r="C272" s="203"/>
      <c r="D272" s="246" t="s">
        <v>193</v>
      </c>
      <c r="E272" s="604"/>
      <c r="F272" s="246" t="s">
        <v>194</v>
      </c>
      <c r="G272" s="203"/>
      <c r="H272" s="246" t="s">
        <v>32</v>
      </c>
      <c r="I272" s="604"/>
      <c r="J272" s="246" t="s">
        <v>33</v>
      </c>
    </row>
    <row r="273" spans="1:10">
      <c r="A273" s="156" t="s">
        <v>244</v>
      </c>
      <c r="B273" s="247">
        <f>D273+F273+H273+J273</f>
        <v>0</v>
      </c>
      <c r="C273" s="248"/>
      <c r="D273" s="579"/>
      <c r="E273" s="24"/>
      <c r="F273" s="585"/>
      <c r="H273" s="579"/>
      <c r="I273" s="45"/>
      <c r="J273" s="585"/>
    </row>
    <row r="274" spans="1:10">
      <c r="A274" s="156" t="s">
        <v>245</v>
      </c>
      <c r="B274" s="247">
        <f>D274+F274+H274+J274</f>
        <v>0</v>
      </c>
      <c r="C274" s="248"/>
      <c r="D274" s="579"/>
      <c r="E274" s="24"/>
      <c r="F274" s="585"/>
      <c r="H274" s="579"/>
      <c r="I274" s="45"/>
      <c r="J274" s="585"/>
    </row>
    <row r="275" spans="1:10">
      <c r="A275" s="156" t="s">
        <v>246</v>
      </c>
      <c r="B275" s="171">
        <f>D275+F275+H275+J275</f>
        <v>0</v>
      </c>
      <c r="D275" s="585"/>
      <c r="E275" s="24"/>
      <c r="F275" s="585"/>
      <c r="H275" s="585"/>
      <c r="I275" s="45"/>
      <c r="J275" s="605"/>
    </row>
    <row r="276" spans="1:10">
      <c r="A276" s="155" t="s">
        <v>127</v>
      </c>
      <c r="B276" s="249"/>
      <c r="C276" s="209"/>
      <c r="D276" s="249"/>
      <c r="E276" s="24"/>
      <c r="F276" s="249"/>
      <c r="H276" s="249"/>
      <c r="I276" s="45"/>
      <c r="J276" s="665"/>
    </row>
    <row r="277" spans="1:10" ht="13.5" thickBot="1">
      <c r="A277" s="156" t="s">
        <v>247</v>
      </c>
      <c r="B277" s="169">
        <f>D277+F277+H277+J277</f>
        <v>0</v>
      </c>
      <c r="C277" s="250"/>
      <c r="D277" s="169">
        <f>D278+D279</f>
        <v>0</v>
      </c>
      <c r="E277" s="45"/>
      <c r="F277" s="168">
        <f>F278+F279</f>
        <v>0</v>
      </c>
      <c r="H277" s="169">
        <f>H278+H279</f>
        <v>0</v>
      </c>
      <c r="I277" s="45"/>
      <c r="J277" s="169">
        <f>J278+J279</f>
        <v>0</v>
      </c>
    </row>
    <row r="278" spans="1:10">
      <c r="A278" s="229" t="s">
        <v>248</v>
      </c>
      <c r="B278" s="251">
        <f>D278+F278+H278+J278</f>
        <v>0</v>
      </c>
      <c r="C278" s="248"/>
      <c r="D278" s="606"/>
      <c r="E278" s="45"/>
      <c r="F278" s="589"/>
      <c r="H278" s="606"/>
      <c r="I278" s="45"/>
      <c r="J278" s="589"/>
    </row>
    <row r="279" spans="1:10">
      <c r="A279" s="156" t="s">
        <v>249</v>
      </c>
      <c r="B279" s="222">
        <f>D279+F279+H279+J279</f>
        <v>0</v>
      </c>
      <c r="C279" s="252"/>
      <c r="D279" s="562"/>
      <c r="E279" s="45"/>
      <c r="F279" s="595"/>
      <c r="H279" s="562"/>
      <c r="I279" s="45"/>
      <c r="J279" s="595"/>
    </row>
    <row r="280" spans="1:10">
      <c r="A280" s="253"/>
      <c r="B280" s="254"/>
      <c r="D280" s="254"/>
      <c r="E280" s="24"/>
      <c r="F280" s="254"/>
      <c r="H280" s="254"/>
      <c r="I280" s="45"/>
      <c r="J280" s="254"/>
    </row>
    <row r="281" spans="1:10" ht="13.5" thickBot="1">
      <c r="A281" s="232" t="s">
        <v>250</v>
      </c>
      <c r="B281" s="223">
        <f>D281+F281+H281+J281</f>
        <v>0</v>
      </c>
      <c r="C281" s="224"/>
      <c r="D281" s="223">
        <f>D273+D274+D275-D277</f>
        <v>0</v>
      </c>
      <c r="E281" s="160"/>
      <c r="F281" s="223">
        <f>F273+F274+F275-F277</f>
        <v>0</v>
      </c>
      <c r="H281" s="223">
        <f>H273+H274+H275-H277</f>
        <v>0</v>
      </c>
      <c r="I281" s="158"/>
      <c r="J281" s="223">
        <f>J273+J274+J275-J277</f>
        <v>0</v>
      </c>
    </row>
    <row r="282" spans="1:10" ht="13.5" thickTop="1">
      <c r="A282" s="232"/>
      <c r="B282" s="255"/>
      <c r="C282" s="255"/>
      <c r="D282" s="255"/>
      <c r="E282" s="603"/>
      <c r="F282" s="255"/>
      <c r="G282" s="255"/>
      <c r="H282" s="255"/>
      <c r="I282" s="603"/>
      <c r="J282" s="255"/>
    </row>
    <row r="283" spans="1:10">
      <c r="A283" s="232"/>
      <c r="B283" s="255"/>
      <c r="C283" s="255"/>
      <c r="D283" s="255"/>
      <c r="E283" s="603"/>
      <c r="F283" s="255"/>
      <c r="G283" s="255"/>
      <c r="H283" s="255"/>
      <c r="I283" s="603"/>
      <c r="J283" s="255"/>
    </row>
    <row r="284" spans="1:10" ht="13.5">
      <c r="A284" s="232"/>
      <c r="B284" s="827" t="s">
        <v>9</v>
      </c>
      <c r="C284" s="203"/>
      <c r="D284" s="126" t="s">
        <v>10</v>
      </c>
      <c r="E284" s="567"/>
      <c r="F284" s="127"/>
      <c r="G284" s="203"/>
      <c r="H284" s="126" t="s">
        <v>11</v>
      </c>
      <c r="I284" s="567"/>
      <c r="J284" s="127"/>
    </row>
    <row r="285" spans="1:10" ht="25.5">
      <c r="A285" s="155" t="s">
        <v>251</v>
      </c>
      <c r="B285" s="828"/>
      <c r="C285" s="203"/>
      <c r="D285" s="128" t="s">
        <v>32</v>
      </c>
      <c r="E285" s="604"/>
      <c r="F285" s="246" t="s">
        <v>33</v>
      </c>
      <c r="G285" s="203"/>
      <c r="H285" s="246" t="s">
        <v>32</v>
      </c>
      <c r="I285" s="604"/>
      <c r="J285" s="246" t="s">
        <v>33</v>
      </c>
    </row>
    <row r="286" spans="1:10">
      <c r="A286" s="228" t="s">
        <v>252</v>
      </c>
      <c r="B286" s="222">
        <f t="shared" ref="B286:B300" si="14">D286+F286+H286+J286</f>
        <v>0</v>
      </c>
      <c r="C286" s="248"/>
      <c r="D286" s="607"/>
      <c r="E286" s="45"/>
      <c r="F286" s="608"/>
      <c r="H286" s="608"/>
      <c r="I286" s="609"/>
      <c r="J286" s="608"/>
    </row>
    <row r="287" spans="1:10">
      <c r="A287" s="229" t="s">
        <v>253</v>
      </c>
      <c r="B287" s="222">
        <f t="shared" si="14"/>
        <v>0</v>
      </c>
      <c r="C287" s="248"/>
      <c r="D287" s="562"/>
      <c r="E287" s="45"/>
      <c r="F287" s="562"/>
      <c r="H287" s="562"/>
      <c r="J287" s="562"/>
    </row>
    <row r="288" spans="1:10">
      <c r="A288" s="156" t="s">
        <v>254</v>
      </c>
      <c r="B288" s="222">
        <f t="shared" si="14"/>
        <v>0</v>
      </c>
      <c r="C288" s="209"/>
      <c r="D288" s="562"/>
      <c r="E288" s="45"/>
      <c r="F288" s="562"/>
      <c r="H288" s="562"/>
      <c r="I288" s="209"/>
      <c r="J288" s="562"/>
    </row>
    <row r="289" spans="1:10">
      <c r="A289" s="156" t="s">
        <v>255</v>
      </c>
      <c r="B289" s="222">
        <f t="shared" si="14"/>
        <v>0</v>
      </c>
      <c r="C289" s="209"/>
      <c r="D289" s="562"/>
      <c r="E289" s="45"/>
      <c r="F289" s="562"/>
      <c r="H289" s="562"/>
      <c r="I289" s="209"/>
      <c r="J289" s="562"/>
    </row>
    <row r="290" spans="1:10">
      <c r="A290" s="156" t="s">
        <v>256</v>
      </c>
      <c r="B290" s="256">
        <f t="shared" si="14"/>
        <v>0</v>
      </c>
      <c r="C290" s="566"/>
      <c r="D290" s="257">
        <f>SUM(D291:D293)</f>
        <v>0</v>
      </c>
      <c r="E290" s="98"/>
      <c r="F290" s="257">
        <f>SUM(F291:F293)</f>
        <v>0</v>
      </c>
      <c r="G290" s="566"/>
      <c r="H290" s="257">
        <f>SUM(H291:H293)</f>
        <v>0</v>
      </c>
      <c r="I290" s="98"/>
      <c r="J290" s="257">
        <f>SUM(J291:J293)</f>
        <v>0</v>
      </c>
    </row>
    <row r="291" spans="1:10">
      <c r="A291" s="229" t="s">
        <v>257</v>
      </c>
      <c r="B291" s="258">
        <f t="shared" si="14"/>
        <v>0</v>
      </c>
      <c r="C291" s="203"/>
      <c r="D291" s="610"/>
      <c r="E291" s="45"/>
      <c r="F291" s="610"/>
      <c r="H291" s="610"/>
      <c r="J291" s="610"/>
    </row>
    <row r="292" spans="1:10">
      <c r="A292" s="229" t="s">
        <v>258</v>
      </c>
      <c r="B292" s="222">
        <f t="shared" si="14"/>
        <v>0</v>
      </c>
      <c r="C292" s="203"/>
      <c r="D292" s="562"/>
      <c r="E292" s="45"/>
      <c r="F292" s="562"/>
      <c r="H292" s="562"/>
      <c r="I292" s="209"/>
      <c r="J292" s="562"/>
    </row>
    <row r="293" spans="1:10">
      <c r="A293" s="229" t="s">
        <v>259</v>
      </c>
      <c r="B293" s="222">
        <f t="shared" si="14"/>
        <v>0</v>
      </c>
      <c r="C293" s="203"/>
      <c r="D293" s="398">
        <f>SUM(D294:D300)</f>
        <v>0</v>
      </c>
      <c r="E293" s="45"/>
      <c r="F293" s="398">
        <f>SUM(F294:F300)</f>
        <v>0</v>
      </c>
      <c r="H293" s="398">
        <f>SUM(H294:H300)</f>
        <v>0</v>
      </c>
      <c r="I293" s="209"/>
      <c r="J293" s="398">
        <f>SUM(J294:J300)</f>
        <v>0</v>
      </c>
    </row>
    <row r="294" spans="1:10">
      <c r="A294" s="611"/>
      <c r="B294" s="222">
        <f t="shared" si="14"/>
        <v>0</v>
      </c>
      <c r="C294" s="203"/>
      <c r="D294" s="562"/>
      <c r="E294" s="45"/>
      <c r="F294" s="562"/>
      <c r="H294" s="562"/>
      <c r="J294" s="562"/>
    </row>
    <row r="295" spans="1:10">
      <c r="A295" s="612"/>
      <c r="B295" s="222">
        <f t="shared" si="14"/>
        <v>0</v>
      </c>
      <c r="C295" s="203"/>
      <c r="D295" s="562"/>
      <c r="E295" s="45"/>
      <c r="F295" s="562"/>
      <c r="H295" s="562"/>
      <c r="I295" s="209"/>
      <c r="J295" s="562"/>
    </row>
    <row r="296" spans="1:10">
      <c r="A296" s="613"/>
      <c r="B296" s="222">
        <f t="shared" si="14"/>
        <v>0</v>
      </c>
      <c r="C296" s="203"/>
      <c r="D296" s="562"/>
      <c r="E296" s="45"/>
      <c r="F296" s="562"/>
      <c r="H296" s="562"/>
      <c r="I296" s="209"/>
      <c r="J296" s="562"/>
    </row>
    <row r="297" spans="1:10">
      <c r="A297" s="613"/>
      <c r="B297" s="222">
        <f t="shared" si="14"/>
        <v>0</v>
      </c>
      <c r="C297" s="203"/>
      <c r="D297" s="562"/>
      <c r="E297" s="45"/>
      <c r="F297" s="562"/>
      <c r="H297" s="562"/>
      <c r="J297" s="562"/>
    </row>
    <row r="298" spans="1:10">
      <c r="A298" s="613"/>
      <c r="B298" s="222">
        <f t="shared" si="14"/>
        <v>0</v>
      </c>
      <c r="C298" s="203"/>
      <c r="D298" s="562"/>
      <c r="E298" s="45"/>
      <c r="F298" s="562"/>
      <c r="H298" s="562"/>
      <c r="I298" s="209"/>
      <c r="J298" s="562"/>
    </row>
    <row r="299" spans="1:10">
      <c r="A299" s="611"/>
      <c r="B299" s="222">
        <f t="shared" si="14"/>
        <v>0</v>
      </c>
      <c r="C299" s="203"/>
      <c r="D299" s="562"/>
      <c r="E299" s="45"/>
      <c r="F299" s="562"/>
      <c r="H299" s="562"/>
      <c r="I299" s="209"/>
      <c r="J299" s="562"/>
    </row>
    <row r="300" spans="1:10">
      <c r="A300" s="612"/>
      <c r="B300" s="222">
        <f t="shared" si="14"/>
        <v>0</v>
      </c>
      <c r="C300" s="203"/>
      <c r="D300" s="562"/>
      <c r="E300" s="45"/>
      <c r="F300" s="562"/>
      <c r="H300" s="562"/>
      <c r="J300" s="562"/>
    </row>
    <row r="301" spans="1:10">
      <c r="A301" s="474"/>
      <c r="B301" s="657"/>
      <c r="C301" s="351"/>
      <c r="D301" s="317"/>
      <c r="E301" s="658"/>
      <c r="F301" s="317"/>
      <c r="G301" s="351"/>
      <c r="H301" s="317"/>
      <c r="I301" s="658"/>
      <c r="J301" s="317"/>
    </row>
    <row r="302" spans="1:10" ht="13.5" thickBot="1">
      <c r="A302" s="155" t="s">
        <v>260</v>
      </c>
      <c r="B302" s="260">
        <f>D302+F302+H302+J302</f>
        <v>0</v>
      </c>
      <c r="C302" s="261"/>
      <c r="D302" s="260">
        <f>SUM(D286:D290)</f>
        <v>0</v>
      </c>
      <c r="E302" s="160"/>
      <c r="F302" s="260">
        <f>SUM(F286:F290)</f>
        <v>0</v>
      </c>
      <c r="H302" s="260">
        <f>SUM(H286:H290)</f>
        <v>0</v>
      </c>
      <c r="I302" s="160"/>
      <c r="J302" s="260">
        <f>SUM(J286:J290)</f>
        <v>0</v>
      </c>
    </row>
    <row r="303" spans="1:10" ht="13.5" thickTop="1">
      <c r="A303" s="262"/>
      <c r="B303" s="152"/>
      <c r="C303" s="152"/>
      <c r="D303" s="263"/>
      <c r="E303" s="263"/>
      <c r="F303" s="203"/>
      <c r="G303" s="152"/>
      <c r="H303" s="203"/>
      <c r="I303" s="203"/>
      <c r="J303" s="264"/>
    </row>
    <row r="304" spans="1:10">
      <c r="A304" s="262"/>
      <c r="B304" s="265"/>
      <c r="C304" s="263"/>
      <c r="D304" s="263"/>
      <c r="E304" s="263"/>
      <c r="F304" s="266"/>
      <c r="G304" s="263"/>
      <c r="H304" s="203"/>
      <c r="I304" s="203"/>
      <c r="J304" s="94"/>
    </row>
    <row r="305" spans="1:10" ht="13.5">
      <c r="A305" s="267" t="s">
        <v>261</v>
      </c>
      <c r="B305" s="827" t="s">
        <v>9</v>
      </c>
      <c r="C305" s="203"/>
      <c r="D305" s="126" t="s">
        <v>10</v>
      </c>
      <c r="E305" s="567"/>
      <c r="F305" s="127"/>
      <c r="G305" s="203"/>
      <c r="H305" s="126" t="s">
        <v>11</v>
      </c>
      <c r="I305" s="567"/>
      <c r="J305" s="127"/>
    </row>
    <row r="306" spans="1:10" ht="25.5">
      <c r="A306" s="155" t="s">
        <v>868</v>
      </c>
      <c r="B306" s="828"/>
      <c r="C306" s="203"/>
      <c r="D306" s="128" t="s">
        <v>32</v>
      </c>
      <c r="E306" s="604"/>
      <c r="F306" s="246" t="s">
        <v>33</v>
      </c>
      <c r="G306" s="203"/>
      <c r="H306" s="246" t="s">
        <v>32</v>
      </c>
      <c r="I306" s="604"/>
      <c r="J306" s="246" t="s">
        <v>33</v>
      </c>
    </row>
    <row r="307" spans="1:10" ht="13.5" thickBot="1">
      <c r="A307" s="777" t="s">
        <v>869</v>
      </c>
      <c r="B307" s="268">
        <f t="shared" ref="B307:B333" si="15">D307+F307+H307+J307</f>
        <v>0</v>
      </c>
      <c r="C307" s="269"/>
      <c r="D307" s="268">
        <f>SUM(D308:D314)+SUM(D317:D325)</f>
        <v>0</v>
      </c>
      <c r="E307" s="269"/>
      <c r="F307" s="268">
        <f>SUM(F308:F314)+SUM(F317:F325)</f>
        <v>0</v>
      </c>
      <c r="G307" s="269"/>
      <c r="H307" s="268">
        <f>SUM(H308:H314)+SUM(H317:H325)</f>
        <v>0</v>
      </c>
      <c r="I307" s="269"/>
      <c r="J307" s="268">
        <f>SUM(J308:J314)+SUM(J317:J325)</f>
        <v>0</v>
      </c>
    </row>
    <row r="308" spans="1:10">
      <c r="A308" s="794" t="s">
        <v>1139</v>
      </c>
      <c r="B308" s="270">
        <f t="shared" si="15"/>
        <v>0</v>
      </c>
      <c r="C308" s="269"/>
      <c r="D308" s="614"/>
      <c r="E308" s="269"/>
      <c r="F308" s="614"/>
      <c r="G308" s="269"/>
      <c r="H308" s="614"/>
      <c r="I308" s="269"/>
      <c r="J308" s="614"/>
    </row>
    <row r="309" spans="1:10">
      <c r="A309" s="794" t="s">
        <v>1140</v>
      </c>
      <c r="B309" s="271">
        <f t="shared" si="15"/>
        <v>0</v>
      </c>
      <c r="C309" s="269"/>
      <c r="D309" s="615"/>
      <c r="E309" s="269"/>
      <c r="F309" s="615"/>
      <c r="G309" s="269"/>
      <c r="H309" s="615"/>
      <c r="I309" s="269"/>
      <c r="J309" s="615"/>
    </row>
    <row r="310" spans="1:10">
      <c r="A310" s="794" t="s">
        <v>1141</v>
      </c>
      <c r="B310" s="271">
        <f t="shared" si="15"/>
        <v>0</v>
      </c>
      <c r="C310" s="269"/>
      <c r="D310" s="615"/>
      <c r="E310" s="269"/>
      <c r="F310" s="615"/>
      <c r="G310" s="269"/>
      <c r="H310" s="615"/>
      <c r="I310" s="269"/>
      <c r="J310" s="615"/>
    </row>
    <row r="311" spans="1:10">
      <c r="A311" s="794" t="s">
        <v>1193</v>
      </c>
      <c r="B311" s="271">
        <f t="shared" si="15"/>
        <v>0</v>
      </c>
      <c r="C311" s="269"/>
      <c r="D311" s="615"/>
      <c r="E311" s="762"/>
      <c r="F311" s="615"/>
      <c r="G311" s="762"/>
      <c r="H311" s="615"/>
      <c r="I311" s="762"/>
      <c r="J311" s="615"/>
    </row>
    <row r="312" spans="1:10">
      <c r="A312" s="794" t="s">
        <v>1194</v>
      </c>
      <c r="B312" s="271">
        <f t="shared" si="15"/>
        <v>0</v>
      </c>
      <c r="C312" s="269"/>
      <c r="D312" s="615"/>
      <c r="E312" s="269"/>
      <c r="F312" s="615"/>
      <c r="G312" s="269"/>
      <c r="H312" s="615"/>
      <c r="I312" s="269"/>
      <c r="J312" s="615"/>
    </row>
    <row r="313" spans="1:10" ht="14.25" customHeight="1">
      <c r="A313" s="795" t="s">
        <v>1142</v>
      </c>
      <c r="B313" s="271">
        <f t="shared" si="15"/>
        <v>0</v>
      </c>
      <c r="C313" s="269"/>
      <c r="D313" s="615"/>
      <c r="E313" s="269"/>
      <c r="F313" s="615"/>
      <c r="G313" s="269"/>
      <c r="H313" s="615"/>
      <c r="I313" s="269"/>
      <c r="J313" s="615"/>
    </row>
    <row r="314" spans="1:10" ht="14.25" customHeight="1">
      <c r="A314" s="777" t="s">
        <v>1155</v>
      </c>
      <c r="B314" s="272">
        <f t="shared" si="15"/>
        <v>0</v>
      </c>
      <c r="C314" s="269"/>
      <c r="D314" s="273">
        <f>D315+D316</f>
        <v>0</v>
      </c>
      <c r="E314" s="274"/>
      <c r="F314" s="273">
        <f>F315+F316</f>
        <v>0</v>
      </c>
      <c r="G314" s="274"/>
      <c r="H314" s="273">
        <f>H315+H316</f>
        <v>0</v>
      </c>
      <c r="I314" s="274"/>
      <c r="J314" s="273">
        <f>J315+J316</f>
        <v>0</v>
      </c>
    </row>
    <row r="315" spans="1:10" ht="14.25" customHeight="1">
      <c r="A315" s="779" t="s">
        <v>1156</v>
      </c>
      <c r="B315" s="270">
        <f t="shared" si="15"/>
        <v>0</v>
      </c>
      <c r="C315" s="269"/>
      <c r="D315" s="614"/>
      <c r="E315" s="269"/>
      <c r="F315" s="614"/>
      <c r="G315" s="269"/>
      <c r="H315" s="614"/>
      <c r="I315" s="269"/>
      <c r="J315" s="614"/>
    </row>
    <row r="316" spans="1:10" ht="14.25" customHeight="1">
      <c r="A316" s="779" t="s">
        <v>1157</v>
      </c>
      <c r="B316" s="275">
        <f t="shared" si="15"/>
        <v>0</v>
      </c>
      <c r="C316" s="269"/>
      <c r="D316" s="615"/>
      <c r="E316" s="269"/>
      <c r="F316" s="615"/>
      <c r="G316" s="269"/>
      <c r="H316" s="615"/>
      <c r="I316" s="269"/>
      <c r="J316" s="615"/>
    </row>
    <row r="317" spans="1:10">
      <c r="A317" s="794" t="s">
        <v>1130</v>
      </c>
      <c r="B317" s="271">
        <f t="shared" si="15"/>
        <v>0</v>
      </c>
      <c r="C317" s="269"/>
      <c r="D317" s="761"/>
      <c r="E317" s="269"/>
      <c r="F317" s="761"/>
      <c r="G317" s="269"/>
      <c r="H317" s="761"/>
      <c r="I317" s="269"/>
      <c r="J317" s="761"/>
    </row>
    <row r="318" spans="1:10">
      <c r="A318" s="795" t="s">
        <v>1131</v>
      </c>
      <c r="B318" s="271">
        <f t="shared" si="15"/>
        <v>0</v>
      </c>
      <c r="C318" s="269"/>
      <c r="D318" s="761"/>
      <c r="E318" s="269"/>
      <c r="F318" s="761"/>
      <c r="G318" s="269"/>
      <c r="H318" s="761"/>
      <c r="I318" s="269"/>
      <c r="J318" s="761"/>
    </row>
    <row r="319" spans="1:10">
      <c r="A319" s="795" t="s">
        <v>1132</v>
      </c>
      <c r="B319" s="271">
        <f t="shared" si="15"/>
        <v>0</v>
      </c>
      <c r="C319" s="269"/>
      <c r="D319" s="761"/>
      <c r="E319" s="269"/>
      <c r="F319" s="761"/>
      <c r="G319" s="269"/>
      <c r="H319" s="761"/>
      <c r="I319" s="269"/>
      <c r="J319" s="761"/>
    </row>
    <row r="320" spans="1:10">
      <c r="A320" s="795" t="s">
        <v>1133</v>
      </c>
      <c r="B320" s="271">
        <f t="shared" si="15"/>
        <v>0</v>
      </c>
      <c r="C320" s="269"/>
      <c r="D320" s="761"/>
      <c r="E320" s="269"/>
      <c r="F320" s="761"/>
      <c r="G320" s="269"/>
      <c r="H320" s="761"/>
      <c r="I320" s="269"/>
      <c r="J320" s="761"/>
    </row>
    <row r="321" spans="1:10">
      <c r="A321" s="795" t="s">
        <v>1134</v>
      </c>
      <c r="B321" s="271">
        <f t="shared" si="15"/>
        <v>0</v>
      </c>
      <c r="C321" s="269"/>
      <c r="D321" s="761"/>
      <c r="E321" s="269"/>
      <c r="F321" s="761"/>
      <c r="G321" s="269"/>
      <c r="H321" s="761"/>
      <c r="I321" s="269"/>
      <c r="J321" s="761"/>
    </row>
    <row r="322" spans="1:10">
      <c r="A322" s="795" t="s">
        <v>1135</v>
      </c>
      <c r="B322" s="271">
        <f t="shared" si="15"/>
        <v>0</v>
      </c>
      <c r="C322" s="269"/>
      <c r="D322" s="761"/>
      <c r="E322" s="269"/>
      <c r="F322" s="761"/>
      <c r="G322" s="269"/>
      <c r="H322" s="761"/>
      <c r="I322" s="269"/>
      <c r="J322" s="761"/>
    </row>
    <row r="323" spans="1:10">
      <c r="A323" s="795" t="s">
        <v>1136</v>
      </c>
      <c r="B323" s="271">
        <f t="shared" si="15"/>
        <v>0</v>
      </c>
      <c r="C323" s="269"/>
      <c r="D323" s="761"/>
      <c r="E323" s="269"/>
      <c r="F323" s="761"/>
      <c r="G323" s="269"/>
      <c r="H323" s="761"/>
      <c r="I323" s="269"/>
      <c r="J323" s="761"/>
    </row>
    <row r="324" spans="1:10">
      <c r="A324" s="795" t="s">
        <v>1137</v>
      </c>
      <c r="B324" s="271">
        <f t="shared" si="15"/>
        <v>0</v>
      </c>
      <c r="C324" s="269"/>
      <c r="D324" s="761"/>
      <c r="E324" s="269"/>
      <c r="F324" s="761"/>
      <c r="G324" s="269"/>
      <c r="H324" s="761"/>
      <c r="I324" s="269"/>
      <c r="J324" s="761"/>
    </row>
    <row r="325" spans="1:10">
      <c r="A325" s="795" t="s">
        <v>1138</v>
      </c>
      <c r="B325" s="271">
        <f t="shared" si="15"/>
        <v>0</v>
      </c>
      <c r="C325" s="269"/>
      <c r="D325" s="761"/>
      <c r="E325" s="269"/>
      <c r="F325" s="761"/>
      <c r="G325" s="269"/>
      <c r="H325" s="761"/>
      <c r="I325" s="269"/>
      <c r="J325" s="761"/>
    </row>
    <row r="326" spans="1:10" ht="13.5" thickBot="1">
      <c r="A326" s="777" t="s">
        <v>1232</v>
      </c>
      <c r="B326" s="276">
        <f t="shared" si="15"/>
        <v>0</v>
      </c>
      <c r="C326" s="269"/>
      <c r="D326" s="276">
        <f>D327+D335</f>
        <v>0</v>
      </c>
      <c r="E326" s="269"/>
      <c r="F326" s="276">
        <f>F327+F335</f>
        <v>0</v>
      </c>
      <c r="G326" s="269"/>
      <c r="H326" s="276">
        <f>H327+H335</f>
        <v>0</v>
      </c>
      <c r="I326" s="269"/>
      <c r="J326" s="276">
        <f>J327+J335</f>
        <v>0</v>
      </c>
    </row>
    <row r="327" spans="1:10">
      <c r="A327" s="777" t="s">
        <v>870</v>
      </c>
      <c r="B327" s="270">
        <f t="shared" si="15"/>
        <v>0</v>
      </c>
      <c r="C327" s="269"/>
      <c r="D327" s="277">
        <f>SUM(D328:D334)</f>
        <v>0</v>
      </c>
      <c r="E327" s="269"/>
      <c r="F327" s="277">
        <f>SUM(F328:F334)</f>
        <v>0</v>
      </c>
      <c r="G327" s="269"/>
      <c r="H327" s="277">
        <f>SUM(H328:H334)</f>
        <v>0</v>
      </c>
      <c r="I327" s="269"/>
      <c r="J327" s="277">
        <f>SUM(J328:J334)</f>
        <v>0</v>
      </c>
    </row>
    <row r="328" spans="1:10">
      <c r="A328" s="278" t="s">
        <v>871</v>
      </c>
      <c r="B328" s="271">
        <f t="shared" si="15"/>
        <v>0</v>
      </c>
      <c r="C328" s="269"/>
      <c r="D328" s="614"/>
      <c r="E328" s="269"/>
      <c r="F328" s="614"/>
      <c r="G328" s="269"/>
      <c r="H328" s="614"/>
      <c r="I328" s="269"/>
      <c r="J328" s="614"/>
    </row>
    <row r="329" spans="1:10">
      <c r="A329" s="278" t="s">
        <v>872</v>
      </c>
      <c r="B329" s="271">
        <f t="shared" si="15"/>
        <v>0</v>
      </c>
      <c r="C329" s="269"/>
      <c r="D329" s="614"/>
      <c r="E329" s="269"/>
      <c r="F329" s="614"/>
      <c r="G329" s="269"/>
      <c r="H329" s="614"/>
      <c r="I329" s="269"/>
      <c r="J329" s="614"/>
    </row>
    <row r="330" spans="1:10">
      <c r="A330" s="278" t="s">
        <v>873</v>
      </c>
      <c r="B330" s="271">
        <f t="shared" si="15"/>
        <v>0</v>
      </c>
      <c r="C330" s="269"/>
      <c r="D330" s="614"/>
      <c r="E330" s="269"/>
      <c r="F330" s="614"/>
      <c r="G330" s="269"/>
      <c r="H330" s="614"/>
      <c r="I330" s="269"/>
      <c r="J330" s="614"/>
    </row>
    <row r="331" spans="1:10">
      <c r="A331" s="278" t="s">
        <v>1143</v>
      </c>
      <c r="B331" s="271">
        <f t="shared" si="15"/>
        <v>0</v>
      </c>
      <c r="C331" s="269"/>
      <c r="D331" s="614"/>
      <c r="E331" s="269"/>
      <c r="F331" s="614"/>
      <c r="G331" s="269"/>
      <c r="H331" s="614"/>
      <c r="I331" s="269"/>
      <c r="J331" s="614"/>
    </row>
    <row r="332" spans="1:10">
      <c r="A332" s="775" t="s">
        <v>1144</v>
      </c>
      <c r="B332" s="271">
        <f t="shared" si="15"/>
        <v>0</v>
      </c>
      <c r="C332" s="269"/>
      <c r="D332" s="614"/>
      <c r="E332" s="269"/>
      <c r="F332" s="614"/>
      <c r="G332" s="269"/>
      <c r="H332" s="614"/>
      <c r="I332" s="269"/>
      <c r="J332" s="614"/>
    </row>
    <row r="333" spans="1:10">
      <c r="A333" s="278" t="s">
        <v>1145</v>
      </c>
      <c r="B333" s="271">
        <f t="shared" si="15"/>
        <v>0</v>
      </c>
      <c r="C333" s="269"/>
      <c r="D333" s="614"/>
      <c r="E333" s="269"/>
      <c r="F333" s="614"/>
      <c r="G333" s="269"/>
      <c r="H333" s="614"/>
      <c r="I333" s="269"/>
      <c r="J333" s="614"/>
    </row>
    <row r="334" spans="1:10">
      <c r="A334" s="278" t="s">
        <v>1146</v>
      </c>
      <c r="B334" s="271">
        <f t="shared" ref="B334:B346" si="16">D334+F334+H334+J334</f>
        <v>0</v>
      </c>
      <c r="C334" s="269"/>
      <c r="D334" s="614"/>
      <c r="E334" s="762"/>
      <c r="F334" s="614"/>
      <c r="G334" s="762"/>
      <c r="H334" s="614"/>
      <c r="I334" s="762"/>
      <c r="J334" s="614"/>
    </row>
    <row r="335" spans="1:10">
      <c r="A335" s="777" t="s">
        <v>874</v>
      </c>
      <c r="B335" s="272">
        <f t="shared" si="16"/>
        <v>0</v>
      </c>
      <c r="C335" s="269"/>
      <c r="D335" s="273">
        <f>SUM(D336:D342)</f>
        <v>0</v>
      </c>
      <c r="E335" s="269"/>
      <c r="F335" s="273">
        <f>SUM(F336:F342)</f>
        <v>0</v>
      </c>
      <c r="G335" s="269"/>
      <c r="H335" s="273">
        <f>SUM(H336:H342)</f>
        <v>0</v>
      </c>
      <c r="I335" s="269"/>
      <c r="J335" s="273">
        <f>SUM(J336:J342)</f>
        <v>0</v>
      </c>
    </row>
    <row r="336" spans="1:10">
      <c r="A336" s="278" t="s">
        <v>875</v>
      </c>
      <c r="B336" s="270">
        <f t="shared" si="16"/>
        <v>0</v>
      </c>
      <c r="C336" s="269"/>
      <c r="D336" s="614"/>
      <c r="E336" s="269"/>
      <c r="F336" s="614"/>
      <c r="G336" s="269"/>
      <c r="H336" s="614"/>
      <c r="I336" s="269"/>
      <c r="J336" s="614"/>
    </row>
    <row r="337" spans="1:10">
      <c r="A337" s="278" t="s">
        <v>876</v>
      </c>
      <c r="B337" s="271">
        <f t="shared" si="16"/>
        <v>0</v>
      </c>
      <c r="C337" s="269"/>
      <c r="D337" s="614"/>
      <c r="E337" s="269"/>
      <c r="F337" s="614"/>
      <c r="G337" s="269"/>
      <c r="H337" s="614"/>
      <c r="I337" s="269"/>
      <c r="J337" s="614"/>
    </row>
    <row r="338" spans="1:10">
      <c r="A338" s="278" t="s">
        <v>877</v>
      </c>
      <c r="B338" s="271">
        <f t="shared" si="16"/>
        <v>0</v>
      </c>
      <c r="C338" s="269"/>
      <c r="D338" s="614"/>
      <c r="E338" s="269"/>
      <c r="F338" s="614"/>
      <c r="G338" s="269"/>
      <c r="H338" s="614"/>
      <c r="I338" s="269"/>
      <c r="J338" s="614"/>
    </row>
    <row r="339" spans="1:10">
      <c r="A339" s="278" t="s">
        <v>1147</v>
      </c>
      <c r="B339" s="271">
        <f t="shared" si="16"/>
        <v>0</v>
      </c>
      <c r="C339" s="269"/>
      <c r="D339" s="614"/>
      <c r="E339" s="269"/>
      <c r="F339" s="614"/>
      <c r="G339" s="269"/>
      <c r="H339" s="614"/>
      <c r="I339" s="269"/>
      <c r="J339" s="614"/>
    </row>
    <row r="340" spans="1:10">
      <c r="A340" s="775" t="s">
        <v>1148</v>
      </c>
      <c r="B340" s="271">
        <f t="shared" si="16"/>
        <v>0</v>
      </c>
      <c r="C340" s="269"/>
      <c r="D340" s="614"/>
      <c r="E340" s="269"/>
      <c r="F340" s="614"/>
      <c r="G340" s="269"/>
      <c r="H340" s="614"/>
      <c r="I340" s="269"/>
      <c r="J340" s="614"/>
    </row>
    <row r="341" spans="1:10">
      <c r="A341" s="278" t="s">
        <v>1149</v>
      </c>
      <c r="B341" s="271">
        <f t="shared" si="16"/>
        <v>0</v>
      </c>
      <c r="C341" s="269"/>
      <c r="D341" s="614"/>
      <c r="E341" s="269"/>
      <c r="F341" s="614"/>
      <c r="G341" s="269"/>
      <c r="H341" s="614"/>
      <c r="I341" s="269"/>
      <c r="J341" s="614"/>
    </row>
    <row r="342" spans="1:10">
      <c r="A342" s="278" t="s">
        <v>1150</v>
      </c>
      <c r="B342" s="271">
        <f t="shared" si="16"/>
        <v>0</v>
      </c>
      <c r="C342" s="269"/>
      <c r="D342" s="614"/>
      <c r="E342" s="269"/>
      <c r="F342" s="614"/>
      <c r="G342" s="269"/>
      <c r="H342" s="614"/>
      <c r="I342" s="269"/>
      <c r="J342" s="614"/>
    </row>
    <row r="343" spans="1:10">
      <c r="A343" s="777" t="s">
        <v>878</v>
      </c>
      <c r="B343" s="279">
        <f t="shared" si="16"/>
        <v>0</v>
      </c>
      <c r="C343" s="280"/>
      <c r="D343" s="281">
        <f>D344+D345</f>
        <v>0</v>
      </c>
      <c r="E343" s="282"/>
      <c r="F343" s="281">
        <f>F344+F345</f>
        <v>0</v>
      </c>
      <c r="G343" s="282"/>
      <c r="H343" s="281">
        <f>H344+H345</f>
        <v>0</v>
      </c>
      <c r="I343" s="282"/>
      <c r="J343" s="281">
        <f>J344+J345</f>
        <v>0</v>
      </c>
    </row>
    <row r="344" spans="1:10">
      <c r="A344" s="777" t="s">
        <v>879</v>
      </c>
      <c r="B344" s="283">
        <f t="shared" si="16"/>
        <v>0</v>
      </c>
      <c r="C344" s="280"/>
      <c r="D344" s="616"/>
      <c r="E344" s="282"/>
      <c r="F344" s="616"/>
      <c r="G344" s="282"/>
      <c r="H344" s="616"/>
      <c r="I344" s="282"/>
      <c r="J344" s="616"/>
    </row>
    <row r="345" spans="1:10">
      <c r="A345" s="777" t="s">
        <v>1233</v>
      </c>
      <c r="B345" s="279">
        <f t="shared" si="16"/>
        <v>0</v>
      </c>
      <c r="C345" s="280"/>
      <c r="D345" s="281">
        <f>SUM(D346:D352)</f>
        <v>0</v>
      </c>
      <c r="E345" s="282"/>
      <c r="F345" s="281">
        <f>SUM(F346:F352)</f>
        <v>0</v>
      </c>
      <c r="G345" s="282"/>
      <c r="H345" s="281">
        <f>SUM(H346:H352)</f>
        <v>0</v>
      </c>
      <c r="I345" s="282"/>
      <c r="J345" s="281">
        <f>SUM(J346:J352)</f>
        <v>0</v>
      </c>
    </row>
    <row r="346" spans="1:10">
      <c r="A346" s="278" t="s">
        <v>880</v>
      </c>
      <c r="B346" s="283">
        <f t="shared" si="16"/>
        <v>0</v>
      </c>
      <c r="C346" s="280"/>
      <c r="D346" s="617"/>
      <c r="E346" s="282"/>
      <c r="F346" s="617"/>
      <c r="G346" s="282"/>
      <c r="H346" s="617"/>
      <c r="I346" s="282"/>
      <c r="J346" s="617"/>
    </row>
    <row r="347" spans="1:10">
      <c r="A347" s="278" t="s">
        <v>881</v>
      </c>
      <c r="B347" s="284">
        <f t="shared" ref="B347:B356" si="17">D347+F347+H347+J347</f>
        <v>0</v>
      </c>
      <c r="C347" s="280"/>
      <c r="D347" s="618"/>
      <c r="E347" s="282"/>
      <c r="F347" s="618"/>
      <c r="G347" s="282"/>
      <c r="H347" s="618"/>
      <c r="I347" s="282"/>
      <c r="J347" s="618"/>
    </row>
    <row r="348" spans="1:10">
      <c r="A348" s="278" t="s">
        <v>882</v>
      </c>
      <c r="B348" s="284">
        <f t="shared" si="17"/>
        <v>0</v>
      </c>
      <c r="C348" s="280"/>
      <c r="D348" s="618"/>
      <c r="E348" s="282"/>
      <c r="F348" s="618"/>
      <c r="G348" s="282"/>
      <c r="H348" s="618"/>
      <c r="I348" s="282"/>
      <c r="J348" s="618"/>
    </row>
    <row r="349" spans="1:10">
      <c r="A349" s="278" t="s">
        <v>1151</v>
      </c>
      <c r="B349" s="284">
        <f t="shared" si="17"/>
        <v>0</v>
      </c>
      <c r="C349" s="280"/>
      <c r="D349" s="618"/>
      <c r="E349" s="282"/>
      <c r="F349" s="618"/>
      <c r="G349" s="282"/>
      <c r="H349" s="618"/>
      <c r="I349" s="282"/>
      <c r="J349" s="618"/>
    </row>
    <row r="350" spans="1:10">
      <c r="A350" s="775" t="s">
        <v>1152</v>
      </c>
      <c r="B350" s="284">
        <f t="shared" si="17"/>
        <v>0</v>
      </c>
      <c r="C350" s="280"/>
      <c r="D350" s="618"/>
      <c r="E350" s="282"/>
      <c r="F350" s="618"/>
      <c r="G350" s="282"/>
      <c r="H350" s="618"/>
      <c r="I350" s="282"/>
      <c r="J350" s="618"/>
    </row>
    <row r="351" spans="1:10">
      <c r="A351" s="278" t="s">
        <v>1153</v>
      </c>
      <c r="B351" s="284">
        <f t="shared" si="17"/>
        <v>0</v>
      </c>
      <c r="C351" s="280"/>
      <c r="D351" s="618"/>
      <c r="E351" s="282"/>
      <c r="F351" s="618"/>
      <c r="G351" s="282"/>
      <c r="H351" s="618"/>
      <c r="I351" s="282"/>
      <c r="J351" s="618"/>
    </row>
    <row r="352" spans="1:10">
      <c r="A352" s="278" t="s">
        <v>1154</v>
      </c>
      <c r="B352" s="284">
        <f t="shared" si="17"/>
        <v>0</v>
      </c>
      <c r="C352" s="280"/>
      <c r="D352" s="618"/>
      <c r="E352" s="282"/>
      <c r="F352" s="618"/>
      <c r="G352" s="282"/>
      <c r="H352" s="618"/>
      <c r="I352" s="282"/>
      <c r="J352" s="618"/>
    </row>
    <row r="353" spans="1:10">
      <c r="A353" s="777" t="s">
        <v>883</v>
      </c>
      <c r="B353" s="272">
        <f t="shared" si="17"/>
        <v>0</v>
      </c>
      <c r="C353" s="269"/>
      <c r="D353" s="272">
        <f>D354+D355</f>
        <v>0</v>
      </c>
      <c r="E353" s="269"/>
      <c r="F353" s="272">
        <f>F354+F355</f>
        <v>0</v>
      </c>
      <c r="G353" s="269"/>
      <c r="H353" s="272">
        <f>H354+H355</f>
        <v>0</v>
      </c>
      <c r="I353" s="269"/>
      <c r="J353" s="272">
        <f>J354+J355</f>
        <v>0</v>
      </c>
    </row>
    <row r="354" spans="1:10">
      <c r="A354" s="619"/>
      <c r="B354" s="270">
        <f t="shared" si="17"/>
        <v>0</v>
      </c>
      <c r="C354" s="269"/>
      <c r="D354" s="614"/>
      <c r="E354" s="269"/>
      <c r="F354" s="614"/>
      <c r="G354" s="269"/>
      <c r="H354" s="614"/>
      <c r="I354" s="269"/>
      <c r="J354" s="614"/>
    </row>
    <row r="355" spans="1:10">
      <c r="A355" s="620"/>
      <c r="B355" s="272">
        <f t="shared" si="17"/>
        <v>0</v>
      </c>
      <c r="C355" s="269"/>
      <c r="D355" s="621"/>
      <c r="E355" s="269"/>
      <c r="F355" s="621"/>
      <c r="G355" s="269"/>
      <c r="H355" s="621"/>
      <c r="I355" s="269"/>
      <c r="J355" s="621"/>
    </row>
    <row r="356" spans="1:10" ht="13.5" thickBot="1">
      <c r="A356" s="155" t="s">
        <v>884</v>
      </c>
      <c r="B356" s="285">
        <f t="shared" si="17"/>
        <v>0</v>
      </c>
      <c r="C356" s="269"/>
      <c r="D356" s="285">
        <f>D307+D326+D343+D353</f>
        <v>0</v>
      </c>
      <c r="E356" s="269"/>
      <c r="F356" s="285">
        <f>F307+F326+F343+F353</f>
        <v>0</v>
      </c>
      <c r="G356" s="269"/>
      <c r="H356" s="285">
        <f>H307+H326+H343+H353</f>
        <v>0</v>
      </c>
      <c r="I356" s="269"/>
      <c r="J356" s="285">
        <f>J307+J326+J343+J353</f>
        <v>0</v>
      </c>
    </row>
    <row r="357" spans="1:10" ht="13.5" thickTop="1">
      <c r="A357" s="286"/>
      <c r="B357" s="287"/>
      <c r="C357" s="263"/>
      <c r="D357" s="287"/>
      <c r="E357" s="263"/>
      <c r="F357" s="287"/>
      <c r="G357" s="263"/>
      <c r="H357" s="287"/>
      <c r="I357" s="263"/>
      <c r="J357" s="287"/>
    </row>
    <row r="358" spans="1:10">
      <c r="A358" s="262"/>
      <c r="B358" s="288" t="s">
        <v>825</v>
      </c>
      <c r="C358" s="203"/>
      <c r="D358" s="289"/>
      <c r="E358" s="263"/>
      <c r="F358" s="263"/>
      <c r="G358" s="203"/>
      <c r="H358" s="263"/>
      <c r="I358" s="263"/>
      <c r="J358" s="263"/>
    </row>
    <row r="359" spans="1:10" ht="13.5">
      <c r="A359" s="262"/>
      <c r="B359" s="827" t="s">
        <v>9</v>
      </c>
      <c r="C359" s="203"/>
      <c r="D359" s="126" t="s">
        <v>10</v>
      </c>
      <c r="E359" s="567"/>
      <c r="F359" s="127"/>
      <c r="G359" s="203"/>
      <c r="H359" s="126" t="s">
        <v>11</v>
      </c>
      <c r="I359" s="567"/>
      <c r="J359" s="127"/>
    </row>
    <row r="360" spans="1:10" ht="25.5">
      <c r="A360" s="155" t="s">
        <v>885</v>
      </c>
      <c r="B360" s="828"/>
      <c r="C360" s="203"/>
      <c r="D360" s="128" t="s">
        <v>193</v>
      </c>
      <c r="E360" s="568"/>
      <c r="F360" s="129" t="s">
        <v>194</v>
      </c>
      <c r="G360" s="203"/>
      <c r="H360" s="128" t="s">
        <v>193</v>
      </c>
      <c r="I360" s="568"/>
      <c r="J360" s="129" t="s">
        <v>194</v>
      </c>
    </row>
    <row r="361" spans="1:10" s="664" customFormat="1" ht="15.75" customHeight="1">
      <c r="A361" s="290" t="s">
        <v>886</v>
      </c>
      <c r="B361" s="660">
        <f t="shared" ref="B361:B370" si="18">D361+F361+H361+J361</f>
        <v>0</v>
      </c>
      <c r="C361" s="661"/>
      <c r="D361" s="662">
        <f>SUM(D362:D365)</f>
        <v>0</v>
      </c>
      <c r="E361" s="663"/>
      <c r="F361" s="662">
        <f>SUM(F362:F365)</f>
        <v>0</v>
      </c>
      <c r="G361" s="661"/>
      <c r="H361" s="662">
        <f>SUM(H362:H365)</f>
        <v>0</v>
      </c>
      <c r="I361" s="663"/>
      <c r="J361" s="662">
        <f>SUM(J362:J365)</f>
        <v>0</v>
      </c>
    </row>
    <row r="362" spans="1:10">
      <c r="A362" s="207" t="s">
        <v>887</v>
      </c>
      <c r="B362" s="291">
        <f t="shared" si="18"/>
        <v>0</v>
      </c>
      <c r="C362" s="566"/>
      <c r="D362" s="622"/>
      <c r="E362" s="98"/>
      <c r="F362" s="622"/>
      <c r="G362" s="566"/>
      <c r="H362" s="622"/>
      <c r="I362" s="98"/>
      <c r="J362" s="622"/>
    </row>
    <row r="363" spans="1:10">
      <c r="A363" s="207" t="s">
        <v>888</v>
      </c>
      <c r="B363" s="106">
        <f t="shared" si="18"/>
        <v>0</v>
      </c>
      <c r="C363" s="566"/>
      <c r="D363" s="623"/>
      <c r="E363" s="98"/>
      <c r="F363" s="623"/>
      <c r="G363" s="566"/>
      <c r="H363" s="623"/>
      <c r="I363" s="98"/>
      <c r="J363" s="623"/>
    </row>
    <row r="364" spans="1:10">
      <c r="A364" s="207" t="s">
        <v>889</v>
      </c>
      <c r="B364" s="106">
        <f t="shared" si="18"/>
        <v>0</v>
      </c>
      <c r="C364" s="566"/>
      <c r="D364" s="623"/>
      <c r="E364" s="98"/>
      <c r="F364" s="623"/>
      <c r="G364" s="566"/>
      <c r="H364" s="623"/>
      <c r="I364" s="98"/>
      <c r="J364" s="623"/>
    </row>
    <row r="365" spans="1:10">
      <c r="A365" s="207" t="s">
        <v>890</v>
      </c>
      <c r="B365" s="106">
        <f t="shared" si="18"/>
        <v>0</v>
      </c>
      <c r="C365" s="566"/>
      <c r="D365" s="623"/>
      <c r="E365" s="98"/>
      <c r="F365" s="623"/>
      <c r="G365" s="566"/>
      <c r="H365" s="623"/>
      <c r="I365" s="98"/>
      <c r="J365" s="623"/>
    </row>
    <row r="366" spans="1:10">
      <c r="A366" s="290" t="s">
        <v>891</v>
      </c>
      <c r="B366" s="106">
        <f t="shared" si="18"/>
        <v>0</v>
      </c>
      <c r="C366" s="566"/>
      <c r="D366" s="623"/>
      <c r="E366" s="98"/>
      <c r="F366" s="623"/>
      <c r="G366" s="566"/>
      <c r="H366" s="623"/>
      <c r="I366" s="98"/>
      <c r="J366" s="623"/>
    </row>
    <row r="367" spans="1:10" ht="14.25" customHeight="1">
      <c r="A367" s="292" t="s">
        <v>892</v>
      </c>
      <c r="B367" s="293">
        <f t="shared" si="18"/>
        <v>0</v>
      </c>
      <c r="C367" s="566"/>
      <c r="D367" s="294">
        <f>D368+D369</f>
        <v>0</v>
      </c>
      <c r="E367" s="98"/>
      <c r="F367" s="294">
        <f>F368+F369</f>
        <v>0</v>
      </c>
      <c r="G367" s="566"/>
      <c r="H367" s="294">
        <f>H368+H369</f>
        <v>0</v>
      </c>
      <c r="I367" s="98"/>
      <c r="J367" s="294">
        <f>J368+J369</f>
        <v>0</v>
      </c>
    </row>
    <row r="368" spans="1:10">
      <c r="A368" s="290" t="s">
        <v>893</v>
      </c>
      <c r="B368" s="291">
        <f t="shared" si="18"/>
        <v>0</v>
      </c>
      <c r="C368" s="566"/>
      <c r="D368" s="623"/>
      <c r="E368" s="98"/>
      <c r="F368" s="623"/>
      <c r="G368" s="566"/>
      <c r="H368" s="623"/>
      <c r="I368" s="98"/>
      <c r="J368" s="623"/>
    </row>
    <row r="369" spans="1:10">
      <c r="A369" s="295" t="s">
        <v>894</v>
      </c>
      <c r="B369" s="113">
        <f t="shared" si="18"/>
        <v>0</v>
      </c>
      <c r="C369" s="566"/>
      <c r="D369" s="624"/>
      <c r="E369" s="98"/>
      <c r="F369" s="623"/>
      <c r="G369" s="566"/>
      <c r="H369" s="623"/>
      <c r="I369" s="98"/>
      <c r="J369" s="623"/>
    </row>
    <row r="370" spans="1:10" ht="13.5" thickBot="1">
      <c r="A370" s="155" t="s">
        <v>895</v>
      </c>
      <c r="B370" s="296">
        <f t="shared" si="18"/>
        <v>0</v>
      </c>
      <c r="C370" s="566"/>
      <c r="D370" s="297">
        <f>D361+D366+D367+D372</f>
        <v>0</v>
      </c>
      <c r="E370" s="98"/>
      <c r="F370" s="297">
        <f>F361+F366+F367+F372</f>
        <v>0</v>
      </c>
      <c r="G370" s="566"/>
      <c r="H370" s="297">
        <f>H361+H366+H367+H372</f>
        <v>0</v>
      </c>
      <c r="I370" s="98"/>
      <c r="J370" s="297">
        <f>J361+J366+J367+J372</f>
        <v>0</v>
      </c>
    </row>
    <row r="371" spans="1:10" ht="14.25" thickTop="1">
      <c r="A371" s="298" t="s">
        <v>365</v>
      </c>
      <c r="B371" s="299"/>
      <c r="C371" s="287"/>
      <c r="D371" s="300"/>
      <c r="E371" s="625"/>
      <c r="F371" s="301"/>
      <c r="G371" s="287"/>
      <c r="H371" s="301"/>
      <c r="I371" s="625"/>
      <c r="J371" s="301"/>
    </row>
    <row r="372" spans="1:10">
      <c r="A372" s="295" t="s">
        <v>896</v>
      </c>
      <c r="B372" s="106">
        <f>D372+F372+H372+J372</f>
        <v>0</v>
      </c>
      <c r="C372" s="287"/>
      <c r="D372" s="623"/>
      <c r="E372" s="98"/>
      <c r="F372" s="623"/>
      <c r="G372" s="287"/>
      <c r="H372" s="623"/>
      <c r="I372" s="98"/>
      <c r="J372" s="623"/>
    </row>
    <row r="373" spans="1:10">
      <c r="A373" s="295" t="s">
        <v>897</v>
      </c>
      <c r="B373" s="106">
        <f>D373+F373+H373+J373</f>
        <v>0</v>
      </c>
      <c r="C373" s="287"/>
      <c r="D373" s="302">
        <f>D370-D372</f>
        <v>0</v>
      </c>
      <c r="E373" s="98"/>
      <c r="F373" s="302">
        <f>F370-F372</f>
        <v>0</v>
      </c>
      <c r="G373" s="287"/>
      <c r="H373" s="302">
        <f>H370-H372</f>
        <v>0</v>
      </c>
      <c r="I373" s="98"/>
      <c r="J373" s="302">
        <f>J370-J372</f>
        <v>0</v>
      </c>
    </row>
    <row r="374" spans="1:10">
      <c r="B374" s="94"/>
      <c r="C374" s="203"/>
      <c r="D374" s="94"/>
      <c r="E374" s="203"/>
      <c r="F374" s="94"/>
      <c r="G374" s="203"/>
      <c r="H374" s="94"/>
      <c r="I374" s="203"/>
      <c r="J374" s="94"/>
    </row>
    <row r="375" spans="1:10">
      <c r="B375" s="94"/>
      <c r="C375" s="203"/>
      <c r="D375" s="94"/>
      <c r="E375" s="203"/>
      <c r="F375" s="94"/>
      <c r="G375" s="203"/>
      <c r="H375" s="94"/>
      <c r="I375" s="203"/>
      <c r="J375" s="94"/>
    </row>
    <row r="376" spans="1:10" ht="25.5">
      <c r="A376" s="155" t="s">
        <v>898</v>
      </c>
      <c r="B376" s="94"/>
      <c r="C376" s="203"/>
      <c r="D376" s="128" t="s">
        <v>193</v>
      </c>
      <c r="E376" s="568"/>
      <c r="F376" s="129" t="s">
        <v>194</v>
      </c>
      <c r="G376" s="203"/>
      <c r="H376" s="128" t="s">
        <v>193</v>
      </c>
      <c r="I376" s="568"/>
      <c r="J376" s="129" t="s">
        <v>194</v>
      </c>
    </row>
    <row r="377" spans="1:10" s="664" customFormat="1" ht="15.75" customHeight="1">
      <c r="A377" s="290" t="s">
        <v>899</v>
      </c>
      <c r="B377" s="770">
        <f t="shared" ref="B377:B388" si="19">D377+F377+H377+J377</f>
        <v>0</v>
      </c>
      <c r="C377" s="661"/>
      <c r="D377" s="771"/>
      <c r="E377" s="663"/>
      <c r="F377" s="771"/>
      <c r="G377" s="661"/>
      <c r="H377" s="771"/>
      <c r="I377" s="663"/>
      <c r="J377" s="771"/>
    </row>
    <row r="378" spans="1:10">
      <c r="A378" s="349" t="s">
        <v>900</v>
      </c>
      <c r="B378" s="291">
        <f t="shared" si="19"/>
        <v>0</v>
      </c>
      <c r="C378" s="566"/>
      <c r="D378" s="622"/>
      <c r="E378" s="98"/>
      <c r="F378" s="622"/>
      <c r="G378" s="566"/>
      <c r="H378" s="622"/>
      <c r="I378" s="98"/>
      <c r="J378" s="622"/>
    </row>
    <row r="379" spans="1:10">
      <c r="A379" s="349" t="s">
        <v>901</v>
      </c>
      <c r="B379" s="106">
        <f t="shared" si="19"/>
        <v>0</v>
      </c>
      <c r="C379" s="566"/>
      <c r="D379" s="623"/>
      <c r="E379" s="98"/>
      <c r="F379" s="623"/>
      <c r="G379" s="566"/>
      <c r="H379" s="623"/>
      <c r="I379" s="98"/>
      <c r="J379" s="623"/>
    </row>
    <row r="380" spans="1:10">
      <c r="A380" s="349" t="s">
        <v>902</v>
      </c>
      <c r="B380" s="106">
        <f t="shared" si="19"/>
        <v>0</v>
      </c>
      <c r="C380" s="566"/>
      <c r="D380" s="623"/>
      <c r="E380" s="98"/>
      <c r="F380" s="623"/>
      <c r="G380" s="566"/>
      <c r="H380" s="623"/>
      <c r="I380" s="98"/>
      <c r="J380" s="623"/>
    </row>
    <row r="381" spans="1:10">
      <c r="A381" s="349" t="s">
        <v>903</v>
      </c>
      <c r="B381" s="106">
        <f t="shared" si="19"/>
        <v>0</v>
      </c>
      <c r="C381" s="566"/>
      <c r="D381" s="623"/>
      <c r="E381" s="98"/>
      <c r="F381" s="623"/>
      <c r="G381" s="566"/>
      <c r="H381" s="623"/>
      <c r="I381" s="98"/>
      <c r="J381" s="623"/>
    </row>
    <row r="382" spans="1:10">
      <c r="A382" s="778" t="s">
        <v>904</v>
      </c>
      <c r="B382" s="293">
        <f t="shared" si="19"/>
        <v>0</v>
      </c>
      <c r="C382" s="309"/>
      <c r="D382" s="308">
        <f>D383+D384</f>
        <v>0</v>
      </c>
      <c r="E382" s="309"/>
      <c r="F382" s="308">
        <f>F383+F384</f>
        <v>0</v>
      </c>
      <c r="G382" s="309"/>
      <c r="H382" s="308">
        <f>H383+H384</f>
        <v>0</v>
      </c>
      <c r="I382" s="309"/>
      <c r="J382" s="308">
        <f>J383+J384</f>
        <v>0</v>
      </c>
    </row>
    <row r="383" spans="1:10" ht="14.25" customHeight="1">
      <c r="A383" s="766" t="s">
        <v>905</v>
      </c>
      <c r="B383" s="291">
        <f t="shared" si="19"/>
        <v>0</v>
      </c>
      <c r="C383" s="309"/>
      <c r="D383" s="629"/>
      <c r="E383" s="309"/>
      <c r="F383" s="629"/>
      <c r="G383" s="309"/>
      <c r="H383" s="629"/>
      <c r="I383" s="309"/>
      <c r="J383" s="629"/>
    </row>
    <row r="384" spans="1:10">
      <c r="A384" s="766" t="s">
        <v>906</v>
      </c>
      <c r="B384" s="106">
        <f t="shared" si="19"/>
        <v>0</v>
      </c>
      <c r="C384" s="309"/>
      <c r="D384" s="629"/>
      <c r="E384" s="309"/>
      <c r="F384" s="629"/>
      <c r="G384" s="309"/>
      <c r="H384" s="629"/>
      <c r="I384" s="309"/>
      <c r="J384" s="629"/>
    </row>
    <row r="385" spans="1:10">
      <c r="A385" s="779" t="s">
        <v>907</v>
      </c>
      <c r="B385" s="293">
        <f t="shared" si="19"/>
        <v>0</v>
      </c>
      <c r="C385" s="269"/>
      <c r="D385" s="272">
        <f>D386+D387</f>
        <v>0</v>
      </c>
      <c r="E385" s="269"/>
      <c r="F385" s="272">
        <f>F386+F387</f>
        <v>0</v>
      </c>
      <c r="G385" s="269"/>
      <c r="H385" s="272">
        <f>H386+H387</f>
        <v>0</v>
      </c>
      <c r="I385" s="269"/>
      <c r="J385" s="272">
        <f>J386+J387</f>
        <v>0</v>
      </c>
    </row>
    <row r="386" spans="1:10">
      <c r="A386" s="619"/>
      <c r="B386" s="270">
        <f t="shared" si="19"/>
        <v>0</v>
      </c>
      <c r="C386" s="269"/>
      <c r="D386" s="614"/>
      <c r="E386" s="269"/>
      <c r="F386" s="614"/>
      <c r="G386" s="269"/>
      <c r="H386" s="614"/>
      <c r="I386" s="269"/>
      <c r="J386" s="614"/>
    </row>
    <row r="387" spans="1:10">
      <c r="A387" s="620"/>
      <c r="B387" s="272">
        <f t="shared" si="19"/>
        <v>0</v>
      </c>
      <c r="C387" s="269"/>
      <c r="D387" s="621"/>
      <c r="E387" s="269"/>
      <c r="F387" s="621"/>
      <c r="G387" s="269"/>
      <c r="H387" s="621"/>
      <c r="I387" s="269"/>
      <c r="J387" s="621"/>
    </row>
    <row r="388" spans="1:10" ht="13.5" thickBot="1">
      <c r="A388" s="370" t="s">
        <v>908</v>
      </c>
      <c r="B388" s="296">
        <f t="shared" si="19"/>
        <v>0</v>
      </c>
      <c r="C388" s="566"/>
      <c r="D388" s="297">
        <f>SUM(D377:D382)+D385</f>
        <v>0</v>
      </c>
      <c r="E388" s="98"/>
      <c r="F388" s="297">
        <f>SUM(F377:F382)+F385</f>
        <v>0</v>
      </c>
      <c r="G388" s="566"/>
      <c r="H388" s="297">
        <f>SUM(H377:H382)+H385</f>
        <v>0</v>
      </c>
      <c r="I388" s="98"/>
      <c r="J388" s="297">
        <f>SUM(J377:J382)+J385</f>
        <v>0</v>
      </c>
    </row>
    <row r="389" spans="1:10" ht="13.5" thickTop="1">
      <c r="B389" s="94"/>
      <c r="C389" s="203"/>
      <c r="D389" s="94"/>
      <c r="E389" s="203"/>
      <c r="F389" s="94"/>
      <c r="G389" s="203"/>
      <c r="H389" s="94"/>
      <c r="I389" s="203"/>
      <c r="J389" s="94"/>
    </row>
    <row r="390" spans="1:10">
      <c r="B390" s="94"/>
      <c r="C390" s="203"/>
      <c r="D390" s="94"/>
      <c r="E390" s="203"/>
      <c r="F390" s="94"/>
      <c r="G390" s="203"/>
      <c r="H390" s="94"/>
      <c r="I390" s="203"/>
      <c r="J390" s="94"/>
    </row>
    <row r="391" spans="1:10" ht="13.5">
      <c r="A391" s="303"/>
      <c r="B391" s="825" t="s">
        <v>9</v>
      </c>
      <c r="C391" s="319"/>
      <c r="D391" s="304" t="s">
        <v>10</v>
      </c>
      <c r="E391" s="626"/>
      <c r="F391" s="305"/>
      <c r="G391" s="319"/>
      <c r="H391" s="304" t="s">
        <v>11</v>
      </c>
      <c r="I391" s="626"/>
      <c r="J391" s="305"/>
    </row>
    <row r="392" spans="1:10" ht="25.5">
      <c r="A392" s="155" t="s">
        <v>366</v>
      </c>
      <c r="B392" s="826"/>
      <c r="C392" s="319"/>
      <c r="D392" s="306" t="s">
        <v>32</v>
      </c>
      <c r="E392" s="627"/>
      <c r="F392" s="306" t="s">
        <v>33</v>
      </c>
      <c r="G392" s="319"/>
      <c r="H392" s="306" t="s">
        <v>32</v>
      </c>
      <c r="I392" s="628"/>
      <c r="J392" s="306" t="s">
        <v>33</v>
      </c>
    </row>
    <row r="393" spans="1:10">
      <c r="A393" s="307" t="s">
        <v>367</v>
      </c>
      <c r="B393" s="308">
        <f t="shared" ref="B393:B400" si="20">D393+F393+H393+J393</f>
        <v>0</v>
      </c>
      <c r="C393" s="309"/>
      <c r="D393" s="308">
        <f>D394+D395</f>
        <v>0</v>
      </c>
      <c r="E393" s="309"/>
      <c r="F393" s="308">
        <f>F394+F395</f>
        <v>0</v>
      </c>
      <c r="G393" s="309"/>
      <c r="H393" s="308">
        <f>H394+H395</f>
        <v>0</v>
      </c>
      <c r="I393" s="309"/>
      <c r="J393" s="308">
        <f>J394+J395</f>
        <v>0</v>
      </c>
    </row>
    <row r="394" spans="1:10">
      <c r="A394" s="228" t="s">
        <v>368</v>
      </c>
      <c r="B394" s="310">
        <f t="shared" si="20"/>
        <v>0</v>
      </c>
      <c r="C394" s="309"/>
      <c r="D394" s="629"/>
      <c r="E394" s="309"/>
      <c r="F394" s="629"/>
      <c r="G394" s="309"/>
      <c r="H394" s="629"/>
      <c r="I394" s="309"/>
      <c r="J394" s="629"/>
    </row>
    <row r="395" spans="1:10" ht="12.75" customHeight="1">
      <c r="A395" s="228" t="s">
        <v>369</v>
      </c>
      <c r="B395" s="311">
        <f t="shared" si="20"/>
        <v>0</v>
      </c>
      <c r="C395" s="309"/>
      <c r="D395" s="629"/>
      <c r="E395" s="309"/>
      <c r="F395" s="629"/>
      <c r="G395" s="309"/>
      <c r="H395" s="629"/>
      <c r="I395" s="309"/>
      <c r="J395" s="629"/>
    </row>
    <row r="396" spans="1:10">
      <c r="A396" s="312" t="s">
        <v>370</v>
      </c>
      <c r="B396" s="308">
        <f t="shared" si="20"/>
        <v>0</v>
      </c>
      <c r="C396" s="309"/>
      <c r="D396" s="308">
        <f>D397+D398</f>
        <v>0</v>
      </c>
      <c r="E396" s="309"/>
      <c r="F396" s="308">
        <f>F397+F398</f>
        <v>0</v>
      </c>
      <c r="G396" s="309"/>
      <c r="H396" s="308">
        <f>H397+H398</f>
        <v>0</v>
      </c>
      <c r="I396" s="309"/>
      <c r="J396" s="308">
        <f>J397+J398</f>
        <v>0</v>
      </c>
    </row>
    <row r="397" spans="1:10">
      <c r="A397" s="307" t="s">
        <v>371</v>
      </c>
      <c r="B397" s="310">
        <f t="shared" si="20"/>
        <v>0</v>
      </c>
      <c r="C397" s="309"/>
      <c r="D397" s="630"/>
      <c r="E397" s="309"/>
      <c r="F397" s="630"/>
      <c r="G397" s="309"/>
      <c r="H397" s="630"/>
      <c r="I397" s="309"/>
      <c r="J397" s="630"/>
    </row>
    <row r="398" spans="1:10">
      <c r="A398" s="307" t="s">
        <v>372</v>
      </c>
      <c r="B398" s="311">
        <f t="shared" si="20"/>
        <v>0</v>
      </c>
      <c r="C398" s="309"/>
      <c r="D398" s="629"/>
      <c r="E398" s="309"/>
      <c r="F398" s="629"/>
      <c r="G398" s="309"/>
      <c r="H398" s="629"/>
      <c r="I398" s="309"/>
      <c r="J398" s="629"/>
    </row>
    <row r="399" spans="1:10">
      <c r="A399" s="307" t="s">
        <v>373</v>
      </c>
      <c r="B399" s="313">
        <f t="shared" si="20"/>
        <v>0</v>
      </c>
      <c r="C399" s="309"/>
      <c r="D399" s="631"/>
      <c r="E399" s="309"/>
      <c r="F399" s="631"/>
      <c r="G399" s="309"/>
      <c r="H399" s="631"/>
      <c r="I399" s="309"/>
      <c r="J399" s="631"/>
    </row>
    <row r="400" spans="1:10">
      <c r="A400" s="314" t="s">
        <v>374</v>
      </c>
      <c r="B400" s="315">
        <f t="shared" si="20"/>
        <v>0</v>
      </c>
      <c r="C400" s="316"/>
      <c r="D400" s="315">
        <f>SUM(D393+D396+D399)</f>
        <v>0</v>
      </c>
      <c r="E400" s="124"/>
      <c r="F400" s="315">
        <f>SUM(F393+F396+F399)</f>
        <v>0</v>
      </c>
      <c r="G400" s="124"/>
      <c r="H400" s="315">
        <f>SUM(H393+H396+H399)</f>
        <v>0</v>
      </c>
      <c r="I400" s="124"/>
      <c r="J400" s="315">
        <f>SUM(J393+J396+J399)</f>
        <v>0</v>
      </c>
    </row>
    <row r="401" spans="1:10">
      <c r="A401" s="314"/>
      <c r="B401" s="317"/>
      <c r="C401" s="317"/>
      <c r="D401" s="317"/>
      <c r="E401" s="383"/>
      <c r="F401" s="317"/>
      <c r="G401" s="317"/>
      <c r="H401" s="317"/>
      <c r="I401" s="383"/>
      <c r="J401" s="317"/>
    </row>
    <row r="402" spans="1:10">
      <c r="A402" s="318"/>
      <c r="B402" s="319"/>
      <c r="C402" s="319"/>
      <c r="D402" s="319"/>
      <c r="E402" s="319"/>
      <c r="F402" s="319"/>
      <c r="G402" s="319"/>
      <c r="H402" s="319"/>
      <c r="I402" s="319"/>
      <c r="J402" s="319"/>
    </row>
    <row r="403" spans="1:10" ht="13.5">
      <c r="A403" s="318"/>
      <c r="B403" s="825" t="s">
        <v>9</v>
      </c>
      <c r="C403" s="319"/>
      <c r="D403" s="304" t="s">
        <v>10</v>
      </c>
      <c r="E403" s="626"/>
      <c r="F403" s="305"/>
      <c r="G403" s="319"/>
      <c r="H403" s="304" t="s">
        <v>11</v>
      </c>
      <c r="I403" s="626"/>
      <c r="J403" s="305"/>
    </row>
    <row r="404" spans="1:10" ht="25.5">
      <c r="A404" s="155" t="s">
        <v>1199</v>
      </c>
      <c r="B404" s="826"/>
      <c r="C404" s="319"/>
      <c r="D404" s="306" t="s">
        <v>32</v>
      </c>
      <c r="E404" s="627"/>
      <c r="F404" s="306" t="s">
        <v>33</v>
      </c>
      <c r="G404" s="319"/>
      <c r="H404" s="306" t="s">
        <v>32</v>
      </c>
      <c r="I404" s="628"/>
      <c r="J404" s="306" t="s">
        <v>33</v>
      </c>
    </row>
    <row r="405" spans="1:10">
      <c r="A405" s="307" t="s">
        <v>1200</v>
      </c>
      <c r="B405" s="311">
        <f t="shared" ref="B405:B424" si="21">D405+F405+H405+J405</f>
        <v>0</v>
      </c>
      <c r="C405" s="309"/>
      <c r="D405" s="630"/>
      <c r="E405" s="309"/>
      <c r="F405" s="630"/>
      <c r="G405" s="309"/>
      <c r="H405" s="630"/>
      <c r="I405" s="309"/>
      <c r="J405" s="630"/>
    </row>
    <row r="406" spans="1:10">
      <c r="A406" s="307" t="s">
        <v>1201</v>
      </c>
      <c r="B406" s="311">
        <f t="shared" si="21"/>
        <v>0</v>
      </c>
      <c r="C406" s="309"/>
      <c r="D406" s="629"/>
      <c r="E406" s="309"/>
      <c r="F406" s="629"/>
      <c r="G406" s="309"/>
      <c r="H406" s="629"/>
      <c r="I406" s="309"/>
      <c r="J406" s="629"/>
    </row>
    <row r="407" spans="1:10">
      <c r="A407" s="320" t="s">
        <v>1202</v>
      </c>
      <c r="B407" s="311">
        <f t="shared" si="21"/>
        <v>0</v>
      </c>
      <c r="C407" s="309"/>
      <c r="D407" s="630"/>
      <c r="E407" s="309"/>
      <c r="F407" s="630"/>
      <c r="G407" s="309"/>
      <c r="H407" s="630"/>
      <c r="I407" s="309"/>
      <c r="J407" s="630"/>
    </row>
    <row r="408" spans="1:10">
      <c r="A408" s="307" t="s">
        <v>1203</v>
      </c>
      <c r="B408" s="308">
        <f t="shared" si="21"/>
        <v>0</v>
      </c>
      <c r="C408" s="309"/>
      <c r="D408" s="308">
        <f>SUM(D409:D413)</f>
        <v>0</v>
      </c>
      <c r="E408" s="309"/>
      <c r="F408" s="308">
        <f>SUM(F409:F413)</f>
        <v>0</v>
      </c>
      <c r="G408" s="309"/>
      <c r="H408" s="308">
        <f>SUM(H409:H413)</f>
        <v>0</v>
      </c>
      <c r="I408" s="309"/>
      <c r="J408" s="308">
        <f>SUM(J409:J413)</f>
        <v>0</v>
      </c>
    </row>
    <row r="409" spans="1:10">
      <c r="A409" s="321" t="s">
        <v>1204</v>
      </c>
      <c r="B409" s="311">
        <f t="shared" si="21"/>
        <v>0</v>
      </c>
      <c r="C409" s="309"/>
      <c r="D409" s="629"/>
      <c r="E409" s="309"/>
      <c r="F409" s="629"/>
      <c r="G409" s="309"/>
      <c r="H409" s="629"/>
      <c r="I409" s="309"/>
      <c r="J409" s="629"/>
    </row>
    <row r="410" spans="1:10">
      <c r="A410" s="321" t="s">
        <v>1205</v>
      </c>
      <c r="B410" s="311">
        <f t="shared" si="21"/>
        <v>0</v>
      </c>
      <c r="C410" s="309"/>
      <c r="D410" s="629"/>
      <c r="E410" s="309"/>
      <c r="F410" s="629"/>
      <c r="G410" s="309"/>
      <c r="H410" s="629"/>
      <c r="I410" s="309"/>
      <c r="J410" s="629"/>
    </row>
    <row r="411" spans="1:10">
      <c r="A411" s="321" t="s">
        <v>1206</v>
      </c>
      <c r="B411" s="311">
        <f t="shared" si="21"/>
        <v>0</v>
      </c>
      <c r="C411" s="309"/>
      <c r="D411" s="629"/>
      <c r="E411" s="309"/>
      <c r="F411" s="629"/>
      <c r="G411" s="309"/>
      <c r="H411" s="629"/>
      <c r="I411" s="309"/>
      <c r="J411" s="629"/>
    </row>
    <row r="412" spans="1:10">
      <c r="A412" s="321" t="s">
        <v>1207</v>
      </c>
      <c r="B412" s="311">
        <f t="shared" si="21"/>
        <v>0</v>
      </c>
      <c r="C412" s="309"/>
      <c r="D412" s="629"/>
      <c r="E412" s="309"/>
      <c r="F412" s="629"/>
      <c r="G412" s="309"/>
      <c r="H412" s="629"/>
      <c r="I412" s="309"/>
      <c r="J412" s="629"/>
    </row>
    <row r="413" spans="1:10">
      <c r="A413" s="321" t="s">
        <v>1208</v>
      </c>
      <c r="B413" s="311">
        <f t="shared" si="21"/>
        <v>0</v>
      </c>
      <c r="C413" s="309"/>
      <c r="D413" s="629"/>
      <c r="E413" s="309"/>
      <c r="F413" s="629"/>
      <c r="G413" s="309"/>
      <c r="H413" s="629"/>
      <c r="I413" s="309"/>
      <c r="J413" s="629"/>
    </row>
    <row r="414" spans="1:10">
      <c r="A414" s="307" t="s">
        <v>1209</v>
      </c>
      <c r="B414" s="311">
        <f t="shared" si="21"/>
        <v>0</v>
      </c>
      <c r="C414" s="309"/>
      <c r="D414" s="308">
        <f>D415+D416</f>
        <v>0</v>
      </c>
      <c r="E414" s="309"/>
      <c r="F414" s="308">
        <f>F415+F416</f>
        <v>0</v>
      </c>
      <c r="G414" s="309"/>
      <c r="H414" s="308">
        <f>H415+H416</f>
        <v>0</v>
      </c>
      <c r="I414" s="309"/>
      <c r="J414" s="308">
        <f>J415+J416</f>
        <v>0</v>
      </c>
    </row>
    <row r="415" spans="1:10">
      <c r="A415" s="307" t="s">
        <v>1210</v>
      </c>
      <c r="B415" s="311">
        <f t="shared" si="21"/>
        <v>0</v>
      </c>
      <c r="C415" s="309"/>
      <c r="D415" s="629"/>
      <c r="E415" s="309"/>
      <c r="F415" s="629"/>
      <c r="G415" s="309"/>
      <c r="H415" s="629"/>
      <c r="I415" s="309"/>
      <c r="J415" s="629"/>
    </row>
    <row r="416" spans="1:10">
      <c r="A416" s="766" t="s">
        <v>1211</v>
      </c>
      <c r="B416" s="311">
        <f t="shared" si="21"/>
        <v>0</v>
      </c>
      <c r="C416" s="309"/>
      <c r="D416" s="629"/>
      <c r="E416" s="309"/>
      <c r="F416" s="629"/>
      <c r="G416" s="309"/>
      <c r="H416" s="629"/>
      <c r="I416" s="309"/>
      <c r="J416" s="629"/>
    </row>
    <row r="417" spans="1:10">
      <c r="A417" s="307" t="s">
        <v>1212</v>
      </c>
      <c r="B417" s="311">
        <f t="shared" si="21"/>
        <v>0</v>
      </c>
      <c r="C417" s="309"/>
      <c r="D417" s="308">
        <f>D418+D419</f>
        <v>0</v>
      </c>
      <c r="E417" s="309"/>
      <c r="F417" s="308">
        <f>F418+F419</f>
        <v>0</v>
      </c>
      <c r="G417" s="309"/>
      <c r="H417" s="308">
        <f>H418+H419</f>
        <v>0</v>
      </c>
      <c r="I417" s="309"/>
      <c r="J417" s="308">
        <f>J418+J419</f>
        <v>0</v>
      </c>
    </row>
    <row r="418" spans="1:10">
      <c r="A418" s="307" t="s">
        <v>1213</v>
      </c>
      <c r="B418" s="311">
        <f t="shared" si="21"/>
        <v>0</v>
      </c>
      <c r="C418" s="309"/>
      <c r="D418" s="629"/>
      <c r="E418" s="309"/>
      <c r="F418" s="629"/>
      <c r="G418" s="309"/>
      <c r="H418" s="629"/>
      <c r="I418" s="309"/>
      <c r="J418" s="630"/>
    </row>
    <row r="419" spans="1:10">
      <c r="A419" s="307" t="s">
        <v>1214</v>
      </c>
      <c r="B419" s="311">
        <f t="shared" si="21"/>
        <v>0</v>
      </c>
      <c r="C419" s="322"/>
      <c r="D419" s="632"/>
      <c r="E419" s="309"/>
      <c r="F419" s="633"/>
      <c r="G419" s="309"/>
      <c r="H419" s="629"/>
      <c r="I419" s="309"/>
      <c r="J419" s="634"/>
    </row>
    <row r="420" spans="1:10">
      <c r="A420" s="307" t="s">
        <v>1215</v>
      </c>
      <c r="B420" s="311">
        <f t="shared" si="21"/>
        <v>0</v>
      </c>
      <c r="C420" s="309"/>
      <c r="D420" s="629"/>
      <c r="E420" s="309"/>
      <c r="F420" s="629"/>
      <c r="G420" s="309"/>
      <c r="H420" s="629"/>
      <c r="I420" s="309"/>
      <c r="J420" s="629"/>
    </row>
    <row r="421" spans="1:10">
      <c r="A421" s="307" t="s">
        <v>1216</v>
      </c>
      <c r="B421" s="311">
        <f t="shared" si="21"/>
        <v>0</v>
      </c>
      <c r="C421" s="309"/>
      <c r="D421" s="629"/>
      <c r="E421" s="309"/>
      <c r="F421" s="629"/>
      <c r="G421" s="309"/>
      <c r="H421" s="629"/>
      <c r="I421" s="309"/>
      <c r="J421" s="629"/>
    </row>
    <row r="422" spans="1:10">
      <c r="A422" s="307" t="s">
        <v>1217</v>
      </c>
      <c r="B422" s="311">
        <f t="shared" si="21"/>
        <v>0</v>
      </c>
      <c r="C422" s="309"/>
      <c r="D422" s="629"/>
      <c r="E422" s="309"/>
      <c r="F422" s="629"/>
      <c r="G422" s="309"/>
      <c r="H422" s="629"/>
      <c r="I422" s="309"/>
      <c r="J422" s="629"/>
    </row>
    <row r="423" spans="1:10">
      <c r="A423" s="307" t="s">
        <v>1218</v>
      </c>
      <c r="B423" s="311">
        <f t="shared" si="21"/>
        <v>0</v>
      </c>
      <c r="C423" s="309"/>
      <c r="D423" s="629"/>
      <c r="E423" s="309"/>
      <c r="F423" s="629"/>
      <c r="G423" s="309"/>
      <c r="H423" s="629"/>
      <c r="I423" s="309"/>
      <c r="J423" s="629"/>
    </row>
    <row r="424" spans="1:10">
      <c r="A424" s="314" t="s">
        <v>1219</v>
      </c>
      <c r="B424" s="323">
        <f t="shared" si="21"/>
        <v>0</v>
      </c>
      <c r="C424" s="324"/>
      <c r="D424" s="323">
        <f>SUM(D405:D408)+D414+D417+SUM(D420:D423)</f>
        <v>0</v>
      </c>
      <c r="E424" s="124"/>
      <c r="F424" s="323">
        <f>SUM(F405:F408)+F414+F417+SUM(F420:F423)</f>
        <v>0</v>
      </c>
      <c r="G424" s="124"/>
      <c r="H424" s="323">
        <f>SUM(H405:H408)+H414+H417+SUM(H420:H423)</f>
        <v>0</v>
      </c>
      <c r="I424" s="124"/>
      <c r="J424" s="323">
        <f>SUM(J405:J408)+J414+J417+SUM(J420:J423)</f>
        <v>0</v>
      </c>
    </row>
    <row r="425" spans="1:10">
      <c r="A425" s="314"/>
      <c r="B425" s="325"/>
      <c r="C425" s="325"/>
      <c r="D425" s="325"/>
      <c r="E425" s="383"/>
      <c r="F425" s="325"/>
      <c r="G425" s="325"/>
      <c r="H425" s="325"/>
      <c r="I425" s="383"/>
      <c r="J425" s="325"/>
    </row>
    <row r="426" spans="1:10">
      <c r="A426" s="326"/>
      <c r="B426" s="319"/>
      <c r="C426" s="319"/>
      <c r="D426" s="319"/>
      <c r="E426" s="319"/>
      <c r="F426" s="319"/>
      <c r="G426" s="319"/>
      <c r="H426" s="319"/>
      <c r="I426" s="319"/>
      <c r="J426" s="319"/>
    </row>
    <row r="427" spans="1:10" ht="13.5">
      <c r="A427" s="326"/>
      <c r="B427" s="825" t="s">
        <v>9</v>
      </c>
      <c r="C427" s="319"/>
      <c r="D427" s="304" t="s">
        <v>10</v>
      </c>
      <c r="E427" s="626"/>
      <c r="F427" s="305"/>
      <c r="G427" s="319"/>
      <c r="H427" s="304" t="s">
        <v>11</v>
      </c>
      <c r="I427" s="626"/>
      <c r="J427" s="305"/>
    </row>
    <row r="428" spans="1:10" ht="25.5">
      <c r="A428" s="155" t="s">
        <v>375</v>
      </c>
      <c r="B428" s="826"/>
      <c r="C428" s="319"/>
      <c r="D428" s="306" t="s">
        <v>32</v>
      </c>
      <c r="E428" s="627"/>
      <c r="F428" s="306" t="s">
        <v>33</v>
      </c>
      <c r="G428" s="319"/>
      <c r="H428" s="306" t="s">
        <v>32</v>
      </c>
      <c r="I428" s="628"/>
      <c r="J428" s="306" t="s">
        <v>33</v>
      </c>
    </row>
    <row r="429" spans="1:10">
      <c r="A429" s="307" t="s">
        <v>376</v>
      </c>
      <c r="B429" s="327">
        <f t="shared" ref="B429:B441" si="22">D429+F429+H429+J429</f>
        <v>0</v>
      </c>
      <c r="C429" s="309"/>
      <c r="D429" s="629"/>
      <c r="E429" s="309"/>
      <c r="F429" s="629"/>
      <c r="G429" s="309"/>
      <c r="H429" s="629"/>
      <c r="I429" s="309"/>
      <c r="J429" s="629"/>
    </row>
    <row r="430" spans="1:10">
      <c r="A430" s="228" t="s">
        <v>377</v>
      </c>
      <c r="B430" s="328">
        <f t="shared" si="22"/>
        <v>0</v>
      </c>
      <c r="C430" s="329"/>
      <c r="D430" s="330">
        <f>D431+D432</f>
        <v>0</v>
      </c>
      <c r="E430" s="309"/>
      <c r="F430" s="330">
        <f>F431+F432</f>
        <v>0</v>
      </c>
      <c r="G430" s="309"/>
      <c r="H430" s="330">
        <f>H431+H432</f>
        <v>0</v>
      </c>
      <c r="I430" s="309"/>
      <c r="J430" s="330">
        <f>J431+J432</f>
        <v>0</v>
      </c>
    </row>
    <row r="431" spans="1:10">
      <c r="A431" s="320" t="s">
        <v>378</v>
      </c>
      <c r="B431" s="331">
        <f t="shared" si="22"/>
        <v>0</v>
      </c>
      <c r="C431" s="309"/>
      <c r="D431" s="630"/>
      <c r="E431" s="309"/>
      <c r="F431" s="630"/>
      <c r="G431" s="309"/>
      <c r="H431" s="630"/>
      <c r="I431" s="309"/>
      <c r="J431" s="630"/>
    </row>
    <row r="432" spans="1:10">
      <c r="A432" s="320" t="s">
        <v>379</v>
      </c>
      <c r="B432" s="327">
        <f t="shared" si="22"/>
        <v>0</v>
      </c>
      <c r="C432" s="309"/>
      <c r="D432" s="629"/>
      <c r="E432" s="309"/>
      <c r="F432" s="629"/>
      <c r="G432" s="309"/>
      <c r="H432" s="629"/>
      <c r="I432" s="309"/>
      <c r="J432" s="629"/>
    </row>
    <row r="433" spans="1:10">
      <c r="A433" s="320" t="s">
        <v>380</v>
      </c>
      <c r="B433" s="327">
        <f t="shared" si="22"/>
        <v>0</v>
      </c>
      <c r="C433" s="332"/>
      <c r="D433" s="633"/>
      <c r="E433" s="332"/>
      <c r="F433" s="633"/>
      <c r="G433" s="332"/>
      <c r="H433" s="633"/>
      <c r="I433" s="332"/>
      <c r="J433" s="633"/>
    </row>
    <row r="434" spans="1:10">
      <c r="A434" s="320" t="s">
        <v>381</v>
      </c>
      <c r="B434" s="311">
        <f t="shared" si="22"/>
        <v>0</v>
      </c>
      <c r="C434" s="309"/>
      <c r="D434" s="629"/>
      <c r="E434" s="309"/>
      <c r="F434" s="629"/>
      <c r="G434" s="309"/>
      <c r="H434" s="629"/>
      <c r="I434" s="309"/>
      <c r="J434" s="629"/>
    </row>
    <row r="435" spans="1:10">
      <c r="A435" s="307" t="s">
        <v>382</v>
      </c>
      <c r="B435" s="308">
        <f t="shared" si="22"/>
        <v>0</v>
      </c>
      <c r="C435" s="309"/>
      <c r="D435" s="308">
        <f>SUM(D436:D440)</f>
        <v>0</v>
      </c>
      <c r="E435" s="309"/>
      <c r="F435" s="308">
        <f>SUM(F436:F440)</f>
        <v>0</v>
      </c>
      <c r="G435" s="309"/>
      <c r="H435" s="308">
        <f>SUM(H436:H440)</f>
        <v>0</v>
      </c>
      <c r="I435" s="309"/>
      <c r="J435" s="308">
        <f>SUM(J436:J440)</f>
        <v>0</v>
      </c>
    </row>
    <row r="436" spans="1:10">
      <c r="A436" s="635"/>
      <c r="B436" s="310">
        <f t="shared" si="22"/>
        <v>0</v>
      </c>
      <c r="C436" s="309"/>
      <c r="D436" s="630"/>
      <c r="E436" s="309"/>
      <c r="F436" s="630"/>
      <c r="G436" s="309"/>
      <c r="H436" s="630"/>
      <c r="I436" s="309"/>
      <c r="J436" s="630"/>
    </row>
    <row r="437" spans="1:10">
      <c r="A437" s="635"/>
      <c r="B437" s="311">
        <f t="shared" si="22"/>
        <v>0</v>
      </c>
      <c r="C437" s="309"/>
      <c r="D437" s="629"/>
      <c r="E437" s="309"/>
      <c r="F437" s="629"/>
      <c r="G437" s="309"/>
      <c r="H437" s="629"/>
      <c r="I437" s="309"/>
      <c r="J437" s="629"/>
    </row>
    <row r="438" spans="1:10">
      <c r="A438" s="635"/>
      <c r="B438" s="311">
        <f t="shared" si="22"/>
        <v>0</v>
      </c>
      <c r="C438" s="309"/>
      <c r="D438" s="629"/>
      <c r="E438" s="309"/>
      <c r="F438" s="629"/>
      <c r="G438" s="309"/>
      <c r="H438" s="629"/>
      <c r="I438" s="309"/>
      <c r="J438" s="629"/>
    </row>
    <row r="439" spans="1:10">
      <c r="A439" s="635"/>
      <c r="B439" s="311">
        <f t="shared" si="22"/>
        <v>0</v>
      </c>
      <c r="C439" s="309"/>
      <c r="D439" s="629"/>
      <c r="E439" s="309"/>
      <c r="F439" s="629"/>
      <c r="G439" s="309"/>
      <c r="H439" s="629"/>
      <c r="I439" s="309"/>
      <c r="J439" s="629"/>
    </row>
    <row r="440" spans="1:10">
      <c r="A440" s="635"/>
      <c r="B440" s="311">
        <f t="shared" si="22"/>
        <v>0</v>
      </c>
      <c r="C440" s="309"/>
      <c r="D440" s="636"/>
      <c r="E440" s="309"/>
      <c r="F440" s="636"/>
      <c r="G440" s="309"/>
      <c r="H440" s="631"/>
      <c r="I440" s="309"/>
      <c r="J440" s="636"/>
    </row>
    <row r="441" spans="1:10">
      <c r="A441" s="314" t="s">
        <v>383</v>
      </c>
      <c r="B441" s="315">
        <f t="shared" si="22"/>
        <v>0</v>
      </c>
      <c r="C441" s="316"/>
      <c r="D441" s="315">
        <f>D429+D430+D433+D434+D435</f>
        <v>0</v>
      </c>
      <c r="E441" s="124"/>
      <c r="F441" s="315">
        <f>F429+F430+F433+F434+F435</f>
        <v>0</v>
      </c>
      <c r="G441" s="124"/>
      <c r="H441" s="315">
        <f>H429+H430+H433+H434+H435</f>
        <v>0</v>
      </c>
      <c r="I441" s="124"/>
      <c r="J441" s="315">
        <f>J429+J430+J433+J434+J435</f>
        <v>0</v>
      </c>
    </row>
    <row r="442" spans="1:10">
      <c r="B442" s="94"/>
      <c r="C442" s="203"/>
      <c r="D442" s="94"/>
      <c r="E442" s="203"/>
      <c r="F442" s="94"/>
      <c r="G442" s="203"/>
      <c r="H442" s="94"/>
      <c r="I442" s="203"/>
      <c r="J442" s="94"/>
    </row>
    <row r="443" spans="1:10">
      <c r="B443" s="94"/>
      <c r="C443" s="203"/>
      <c r="D443" s="94"/>
      <c r="E443" s="203"/>
      <c r="F443" s="94"/>
      <c r="G443" s="203"/>
      <c r="H443" s="94"/>
      <c r="I443" s="203"/>
      <c r="J443" s="94"/>
    </row>
    <row r="444" spans="1:10" ht="13.5">
      <c r="A444" s="333"/>
      <c r="B444" s="827" t="s">
        <v>9</v>
      </c>
      <c r="C444" s="203"/>
      <c r="D444" s="126" t="s">
        <v>10</v>
      </c>
      <c r="E444" s="567"/>
      <c r="F444" s="127"/>
      <c r="G444" s="203"/>
      <c r="H444" s="126" t="s">
        <v>11</v>
      </c>
      <c r="I444" s="567"/>
      <c r="J444" s="127"/>
    </row>
    <row r="445" spans="1:10" ht="25.5">
      <c r="A445" s="267" t="s">
        <v>384</v>
      </c>
      <c r="B445" s="828"/>
      <c r="C445" s="203"/>
      <c r="D445" s="246" t="s">
        <v>193</v>
      </c>
      <c r="E445" s="604"/>
      <c r="F445" s="246" t="s">
        <v>33</v>
      </c>
      <c r="G445" s="203"/>
      <c r="H445" s="246" t="s">
        <v>193</v>
      </c>
      <c r="I445" s="604"/>
      <c r="J445" s="246" t="s">
        <v>33</v>
      </c>
    </row>
    <row r="446" spans="1:10">
      <c r="A446" s="156" t="s">
        <v>385</v>
      </c>
      <c r="B446" s="233">
        <f t="shared" ref="B446:B452" si="23">D446+F446+H446+J446</f>
        <v>0</v>
      </c>
      <c r="D446" s="637"/>
      <c r="F446" s="589"/>
      <c r="H446" s="589"/>
      <c r="J446" s="589"/>
    </row>
    <row r="447" spans="1:10">
      <c r="A447" s="156" t="s">
        <v>386</v>
      </c>
      <c r="B447" s="233">
        <f t="shared" si="23"/>
        <v>0</v>
      </c>
      <c r="D447" s="589"/>
      <c r="F447" s="589"/>
      <c r="H447" s="589"/>
      <c r="J447" s="589"/>
    </row>
    <row r="448" spans="1:10">
      <c r="A448" s="156" t="s">
        <v>387</v>
      </c>
      <c r="B448" s="196">
        <f t="shared" si="23"/>
        <v>0</v>
      </c>
      <c r="D448" s="186">
        <f>D449+D450+D451</f>
        <v>0</v>
      </c>
      <c r="F448" s="186">
        <f>F449+F450+F451</f>
        <v>0</v>
      </c>
      <c r="H448" s="186">
        <f>H449+H450+H451</f>
        <v>0</v>
      </c>
      <c r="J448" s="186">
        <f>J449+J450+J451</f>
        <v>0</v>
      </c>
    </row>
    <row r="449" spans="1:10">
      <c r="A449" s="635"/>
      <c r="B449" s="233">
        <f t="shared" si="23"/>
        <v>0</v>
      </c>
      <c r="D449" s="589"/>
      <c r="F449" s="589"/>
      <c r="H449" s="589"/>
      <c r="J449" s="589"/>
    </row>
    <row r="450" spans="1:10">
      <c r="A450" s="635"/>
      <c r="B450" s="233">
        <f t="shared" si="23"/>
        <v>0</v>
      </c>
      <c r="D450" s="589"/>
      <c r="F450" s="589"/>
      <c r="H450" s="589"/>
      <c r="J450" s="589"/>
    </row>
    <row r="451" spans="1:10">
      <c r="A451" s="635"/>
      <c r="B451" s="233">
        <f t="shared" si="23"/>
        <v>0</v>
      </c>
      <c r="D451" s="589"/>
      <c r="F451" s="589"/>
      <c r="H451" s="589"/>
      <c r="J451" s="589"/>
    </row>
    <row r="452" spans="1:10">
      <c r="A452" s="334" t="s">
        <v>388</v>
      </c>
      <c r="B452" s="335">
        <f t="shared" si="23"/>
        <v>0</v>
      </c>
      <c r="C452" s="209"/>
      <c r="D452" s="335">
        <f>D446+D447+D448</f>
        <v>0</v>
      </c>
      <c r="F452" s="335">
        <f>F446+F447+F448</f>
        <v>0</v>
      </c>
      <c r="G452" s="336"/>
      <c r="H452" s="335">
        <f>H446+H447+H448</f>
        <v>0</v>
      </c>
      <c r="I452" s="269"/>
      <c r="J452" s="335">
        <f>J446+J447+J448</f>
        <v>0</v>
      </c>
    </row>
    <row r="453" spans="1:10">
      <c r="A453" s="334"/>
      <c r="B453" s="337"/>
      <c r="C453" s="337"/>
      <c r="D453" s="337"/>
      <c r="E453" s="259"/>
      <c r="F453" s="337"/>
      <c r="G453" s="337"/>
      <c r="H453" s="337"/>
      <c r="I453" s="638"/>
      <c r="J453" s="337"/>
    </row>
    <row r="454" spans="1:10">
      <c r="A454" s="267"/>
      <c r="B454" s="338"/>
      <c r="C454" s="338"/>
      <c r="D454" s="338"/>
      <c r="E454" s="339"/>
      <c r="F454" s="339"/>
      <c r="G454" s="338"/>
      <c r="H454" s="338"/>
      <c r="I454" s="339"/>
      <c r="J454" s="339"/>
    </row>
    <row r="455" spans="1:10" ht="13.5">
      <c r="A455" s="72"/>
      <c r="B455" s="827" t="s">
        <v>9</v>
      </c>
      <c r="C455" s="203"/>
      <c r="D455" s="126" t="s">
        <v>10</v>
      </c>
      <c r="E455" s="567"/>
      <c r="F455" s="127"/>
      <c r="G455" s="203"/>
      <c r="H455" s="126" t="s">
        <v>11</v>
      </c>
      <c r="I455" s="567"/>
      <c r="J455" s="127"/>
    </row>
    <row r="456" spans="1:10" ht="25.5">
      <c r="A456" s="267" t="s">
        <v>389</v>
      </c>
      <c r="B456" s="828"/>
      <c r="C456" s="203"/>
      <c r="D456" s="246" t="s">
        <v>193</v>
      </c>
      <c r="E456" s="604"/>
      <c r="F456" s="246" t="s">
        <v>33</v>
      </c>
      <c r="G456" s="203"/>
      <c r="H456" s="246" t="s">
        <v>193</v>
      </c>
      <c r="I456" s="604"/>
      <c r="J456" s="246" t="s">
        <v>33</v>
      </c>
    </row>
    <row r="457" spans="1:10" ht="13.5">
      <c r="A457" s="189" t="s">
        <v>390</v>
      </c>
      <c r="B457" s="271">
        <f t="shared" ref="B457:B471" si="24">D457+F457+H457+J457</f>
        <v>0</v>
      </c>
      <c r="C457" s="340"/>
      <c r="D457" s="639"/>
      <c r="E457" s="269"/>
      <c r="F457" s="640"/>
      <c r="G457" s="336"/>
      <c r="H457" s="639"/>
      <c r="I457" s="269"/>
      <c r="J457" s="640"/>
    </row>
    <row r="458" spans="1:10" ht="13.5">
      <c r="A458" s="164" t="s">
        <v>391</v>
      </c>
      <c r="B458" s="271">
        <f t="shared" si="24"/>
        <v>0</v>
      </c>
      <c r="C458" s="340"/>
      <c r="D458" s="639"/>
      <c r="E458" s="269"/>
      <c r="F458" s="640"/>
      <c r="G458" s="336"/>
      <c r="H458" s="639"/>
      <c r="I458" s="269"/>
      <c r="J458" s="640"/>
    </row>
    <row r="459" spans="1:10" ht="14.25" customHeight="1" thickBot="1">
      <c r="A459" s="341" t="s">
        <v>392</v>
      </c>
      <c r="B459" s="276">
        <f t="shared" si="24"/>
        <v>0</v>
      </c>
      <c r="D459" s="168">
        <f>D460+D464+D468</f>
        <v>0</v>
      </c>
      <c r="E459" s="342"/>
      <c r="F459" s="168">
        <f>F460+F464+F468</f>
        <v>0</v>
      </c>
      <c r="G459" s="343"/>
      <c r="H459" s="168">
        <f>H460+H464+H468</f>
        <v>0</v>
      </c>
      <c r="I459" s="342"/>
      <c r="J459" s="168">
        <f>J460+J464+J468</f>
        <v>0</v>
      </c>
    </row>
    <row r="460" spans="1:10">
      <c r="A460" s="344" t="s">
        <v>393</v>
      </c>
      <c r="B460" s="345">
        <f t="shared" si="24"/>
        <v>0</v>
      </c>
      <c r="C460" s="342"/>
      <c r="D460" s="345">
        <f>SUM(D461:D463)</f>
        <v>0</v>
      </c>
      <c r="F460" s="345">
        <f>SUM(F461:F463)</f>
        <v>0</v>
      </c>
      <c r="H460" s="345">
        <f>SUM(H461:H463)</f>
        <v>0</v>
      </c>
      <c r="J460" s="345">
        <f>SUM(J461:J463)</f>
        <v>0</v>
      </c>
    </row>
    <row r="461" spans="1:10">
      <c r="A461" s="164" t="s">
        <v>394</v>
      </c>
      <c r="B461" s="270">
        <f t="shared" si="24"/>
        <v>0</v>
      </c>
      <c r="D461" s="589"/>
      <c r="E461" s="269"/>
      <c r="F461" s="589"/>
      <c r="G461" s="336"/>
      <c r="H461" s="589"/>
      <c r="I461" s="269"/>
      <c r="J461" s="589"/>
    </row>
    <row r="462" spans="1:10">
      <c r="A462" s="164" t="s">
        <v>395</v>
      </c>
      <c r="B462" s="271">
        <f t="shared" si="24"/>
        <v>0</v>
      </c>
      <c r="D462" s="585"/>
      <c r="E462" s="269"/>
      <c r="F462" s="585"/>
      <c r="G462" s="336"/>
      <c r="H462" s="585"/>
      <c r="I462" s="269"/>
      <c r="J462" s="585"/>
    </row>
    <row r="463" spans="1:10">
      <c r="A463" s="164" t="s">
        <v>396</v>
      </c>
      <c r="B463" s="271">
        <f t="shared" si="24"/>
        <v>0</v>
      </c>
      <c r="D463" s="585"/>
      <c r="E463" s="269"/>
      <c r="F463" s="585"/>
      <c r="G463" s="342"/>
      <c r="H463" s="585"/>
      <c r="I463" s="342"/>
      <c r="J463" s="585"/>
    </row>
    <row r="464" spans="1:10">
      <c r="A464" s="346" t="s">
        <v>397</v>
      </c>
      <c r="B464" s="272">
        <f t="shared" si="24"/>
        <v>0</v>
      </c>
      <c r="C464" s="342"/>
      <c r="D464" s="272">
        <f>SUM(D465:D467)</f>
        <v>0</v>
      </c>
      <c r="F464" s="272">
        <f>SUM(F465:F467)</f>
        <v>0</v>
      </c>
      <c r="H464" s="272">
        <f>SUM(H465:H467)</f>
        <v>0</v>
      </c>
      <c r="J464" s="272">
        <f>SUM(J465:J467)</f>
        <v>0</v>
      </c>
    </row>
    <row r="465" spans="1:10">
      <c r="A465" s="164" t="s">
        <v>398</v>
      </c>
      <c r="B465" s="270">
        <f t="shared" si="24"/>
        <v>0</v>
      </c>
      <c r="D465" s="589"/>
      <c r="E465" s="269"/>
      <c r="F465" s="589"/>
      <c r="G465" s="336"/>
      <c r="H465" s="589"/>
      <c r="I465" s="269"/>
      <c r="J465" s="589"/>
    </row>
    <row r="466" spans="1:10">
      <c r="A466" s="164" t="s">
        <v>399</v>
      </c>
      <c r="B466" s="271">
        <f t="shared" si="24"/>
        <v>0</v>
      </c>
      <c r="D466" s="585"/>
      <c r="E466" s="269"/>
      <c r="F466" s="585"/>
      <c r="G466" s="336"/>
      <c r="H466" s="585"/>
      <c r="I466" s="269"/>
      <c r="J466" s="585"/>
    </row>
    <row r="467" spans="1:10">
      <c r="A467" s="164" t="s">
        <v>400</v>
      </c>
      <c r="B467" s="271">
        <f t="shared" si="24"/>
        <v>0</v>
      </c>
      <c r="D467" s="585"/>
      <c r="E467" s="269"/>
      <c r="F467" s="585"/>
      <c r="G467" s="342"/>
      <c r="H467" s="585"/>
      <c r="I467" s="342"/>
      <c r="J467" s="585"/>
    </row>
    <row r="468" spans="1:10">
      <c r="A468" s="207" t="s">
        <v>401</v>
      </c>
      <c r="B468" s="272">
        <f t="shared" si="24"/>
        <v>0</v>
      </c>
      <c r="C468" s="342"/>
      <c r="D468" s="272">
        <f>SUM(D469:D471)</f>
        <v>0</v>
      </c>
      <c r="F468" s="272">
        <f>SUM(F469:F471)</f>
        <v>0</v>
      </c>
      <c r="H468" s="272">
        <f>SUM(H469:H471)</f>
        <v>0</v>
      </c>
      <c r="J468" s="272">
        <f>SUM(J469:J471)</f>
        <v>0</v>
      </c>
    </row>
    <row r="469" spans="1:10">
      <c r="A469" s="164" t="s">
        <v>402</v>
      </c>
      <c r="B469" s="271">
        <f t="shared" si="24"/>
        <v>0</v>
      </c>
      <c r="D469" s="585"/>
      <c r="E469" s="269"/>
      <c r="F469" s="585"/>
      <c r="G469" s="336"/>
      <c r="H469" s="585"/>
      <c r="I469" s="269"/>
      <c r="J469" s="585"/>
    </row>
    <row r="470" spans="1:10">
      <c r="A470" s="164" t="s">
        <v>403</v>
      </c>
      <c r="B470" s="271">
        <f t="shared" si="24"/>
        <v>0</v>
      </c>
      <c r="D470" s="585"/>
      <c r="E470" s="269"/>
      <c r="F470" s="585"/>
      <c r="G470" s="336"/>
      <c r="H470" s="585"/>
      <c r="I470" s="269"/>
      <c r="J470" s="585"/>
    </row>
    <row r="471" spans="1:10">
      <c r="A471" s="164" t="s">
        <v>404</v>
      </c>
      <c r="B471" s="271">
        <f t="shared" si="24"/>
        <v>0</v>
      </c>
      <c r="D471" s="585"/>
      <c r="E471" s="269"/>
      <c r="F471" s="585"/>
      <c r="G471" s="342"/>
      <c r="H471" s="585"/>
      <c r="I471" s="342"/>
      <c r="J471" s="585"/>
    </row>
    <row r="472" spans="1:10">
      <c r="A472" s="156" t="s">
        <v>405</v>
      </c>
      <c r="B472" s="271">
        <f>D472+F472</f>
        <v>0</v>
      </c>
      <c r="D472" s="585"/>
      <c r="E472" s="347"/>
      <c r="F472" s="585"/>
      <c r="G472" s="342"/>
      <c r="H472" s="348" t="s">
        <v>46</v>
      </c>
      <c r="J472" s="348" t="s">
        <v>406</v>
      </c>
    </row>
    <row r="473" spans="1:10">
      <c r="A473" s="189" t="s">
        <v>407</v>
      </c>
      <c r="B473" s="271">
        <f>D473+F473</f>
        <v>0</v>
      </c>
      <c r="D473" s="585"/>
      <c r="E473" s="342"/>
      <c r="F473" s="585"/>
      <c r="G473" s="342"/>
      <c r="H473" s="348" t="s">
        <v>46</v>
      </c>
      <c r="J473" s="348" t="s">
        <v>406</v>
      </c>
    </row>
    <row r="474" spans="1:10">
      <c r="A474" s="164" t="s">
        <v>408</v>
      </c>
      <c r="B474" s="271">
        <f>D474+F474+H474+J474</f>
        <v>0</v>
      </c>
      <c r="D474" s="605"/>
      <c r="E474" s="342"/>
      <c r="F474" s="605"/>
      <c r="G474" s="342"/>
      <c r="H474" s="605"/>
      <c r="J474" s="605"/>
    </row>
    <row r="475" spans="1:10">
      <c r="A475" s="164" t="s">
        <v>16</v>
      </c>
      <c r="B475" s="271">
        <f>D475+F475+H475+J475</f>
        <v>0</v>
      </c>
      <c r="D475" s="605"/>
      <c r="E475" s="342"/>
      <c r="F475" s="605"/>
      <c r="G475" s="342"/>
      <c r="H475" s="605"/>
      <c r="J475" s="605"/>
    </row>
    <row r="476" spans="1:10">
      <c r="A476" s="349" t="s">
        <v>409</v>
      </c>
      <c r="B476" s="196">
        <f>D476+F476+H476+J476</f>
        <v>0</v>
      </c>
      <c r="C476" s="342"/>
      <c r="D476" s="196">
        <f>D477+D478</f>
        <v>0</v>
      </c>
      <c r="E476" s="275"/>
      <c r="F476" s="196">
        <f>F477+F478</f>
        <v>0</v>
      </c>
      <c r="G476" s="275"/>
      <c r="H476" s="196">
        <f>H477+H478</f>
        <v>0</v>
      </c>
      <c r="I476" s="275"/>
      <c r="J476" s="196">
        <f>J477+J478</f>
        <v>0</v>
      </c>
    </row>
    <row r="477" spans="1:10">
      <c r="A477" s="349" t="s">
        <v>410</v>
      </c>
      <c r="B477" s="193">
        <f>D477+F477+H477+J477</f>
        <v>0</v>
      </c>
      <c r="D477" s="589"/>
      <c r="F477" s="589"/>
      <c r="H477" s="589"/>
      <c r="J477" s="589"/>
    </row>
    <row r="478" spans="1:10">
      <c r="A478" s="349" t="s">
        <v>411</v>
      </c>
      <c r="B478" s="186">
        <f>D478+F478+H478+J478</f>
        <v>0</v>
      </c>
      <c r="D478" s="641"/>
      <c r="F478" s="641"/>
      <c r="H478" s="641"/>
      <c r="J478" s="641"/>
    </row>
    <row r="479" spans="1:10">
      <c r="A479" s="350"/>
      <c r="B479" s="351"/>
      <c r="C479" s="358"/>
      <c r="D479" s="351"/>
      <c r="E479" s="351"/>
      <c r="F479" s="351"/>
      <c r="G479" s="351"/>
      <c r="H479" s="351"/>
      <c r="I479" s="351"/>
      <c r="J479" s="351"/>
    </row>
    <row r="480" spans="1:10">
      <c r="A480" s="333"/>
      <c r="B480" s="352"/>
      <c r="C480" s="642"/>
      <c r="D480" s="352"/>
      <c r="E480" s="642"/>
      <c r="F480" s="352"/>
      <c r="G480" s="642"/>
      <c r="H480" s="352"/>
      <c r="I480" s="358"/>
      <c r="J480" s="352"/>
    </row>
    <row r="481" spans="1:10">
      <c r="B481" s="94"/>
      <c r="C481" s="203"/>
      <c r="D481" s="94"/>
      <c r="E481" s="643"/>
      <c r="F481" s="94"/>
      <c r="G481" s="203"/>
      <c r="H481" s="353" t="s">
        <v>412</v>
      </c>
      <c r="I481" s="644"/>
      <c r="J481" s="354" t="s">
        <v>413</v>
      </c>
    </row>
    <row r="482" spans="1:10">
      <c r="A482" s="355" t="s">
        <v>414</v>
      </c>
      <c r="B482" s="94"/>
      <c r="C482" s="203"/>
      <c r="D482" s="94"/>
      <c r="E482" s="643"/>
      <c r="F482" s="94"/>
      <c r="G482" s="203"/>
      <c r="H482" s="356">
        <f>H483+H484</f>
        <v>0</v>
      </c>
      <c r="I482" s="202"/>
      <c r="J482" s="356">
        <f>J483+J484</f>
        <v>0</v>
      </c>
    </row>
    <row r="483" spans="1:10">
      <c r="A483" s="164" t="s">
        <v>415</v>
      </c>
      <c r="B483" s="94"/>
      <c r="C483" s="203"/>
      <c r="D483" s="94"/>
      <c r="E483" s="358"/>
      <c r="F483" s="94"/>
      <c r="G483" s="203"/>
      <c r="H483" s="606"/>
      <c r="I483" s="202"/>
      <c r="J483" s="606"/>
    </row>
    <row r="484" spans="1:10">
      <c r="A484" s="164" t="s">
        <v>416</v>
      </c>
      <c r="B484" s="94"/>
      <c r="C484" s="203"/>
      <c r="D484" s="94"/>
      <c r="E484" s="358"/>
      <c r="F484" s="94"/>
      <c r="G484" s="203"/>
      <c r="H484" s="579"/>
      <c r="I484" s="202"/>
      <c r="J484" s="579"/>
    </row>
    <row r="485" spans="1:10">
      <c r="A485" s="357"/>
      <c r="B485" s="94"/>
      <c r="C485" s="203"/>
      <c r="D485" s="94"/>
      <c r="E485" s="358"/>
      <c r="F485" s="358"/>
      <c r="G485" s="203"/>
      <c r="H485" s="358"/>
      <c r="I485" s="358"/>
      <c r="J485" s="359"/>
    </row>
    <row r="486" spans="1:10">
      <c r="A486" s="333"/>
      <c r="B486" s="358"/>
      <c r="C486" s="358"/>
      <c r="D486" s="358"/>
      <c r="E486" s="645"/>
      <c r="F486" s="358"/>
      <c r="G486" s="358"/>
      <c r="H486" s="358"/>
      <c r="I486" s="645"/>
      <c r="J486" s="359"/>
    </row>
    <row r="487" spans="1:10" ht="24" customHeight="1">
      <c r="A487" s="360" t="s">
        <v>417</v>
      </c>
      <c r="B487" s="203"/>
      <c r="C487" s="203"/>
      <c r="D487" s="361" t="s">
        <v>418</v>
      </c>
      <c r="E487" s="646" t="s">
        <v>825</v>
      </c>
      <c r="F487" s="362" t="s">
        <v>419</v>
      </c>
      <c r="G487" s="203" t="s">
        <v>825</v>
      </c>
      <c r="H487" s="361" t="s">
        <v>420</v>
      </c>
      <c r="I487" s="647" t="s">
        <v>825</v>
      </c>
      <c r="J487" s="363" t="s">
        <v>421</v>
      </c>
    </row>
    <row r="488" spans="1:10">
      <c r="A488" s="364" t="s">
        <v>422</v>
      </c>
      <c r="B488" s="94"/>
      <c r="C488" s="203"/>
      <c r="D488" s="637"/>
      <c r="F488" s="589"/>
      <c r="H488" s="637"/>
      <c r="J488" s="365">
        <f>D488+F488+H488</f>
        <v>0</v>
      </c>
    </row>
    <row r="489" spans="1:10">
      <c r="A489" s="364" t="s">
        <v>423</v>
      </c>
      <c r="B489" s="94"/>
      <c r="C489" s="203"/>
      <c r="D489" s="584"/>
      <c r="F489" s="584"/>
      <c r="H489" s="584"/>
      <c r="J489" s="366">
        <f>D489+F489+H489</f>
        <v>0</v>
      </c>
    </row>
    <row r="490" spans="1:10">
      <c r="A490" s="50" t="s">
        <v>424</v>
      </c>
      <c r="B490" s="94"/>
      <c r="C490" s="203"/>
      <c r="D490" s="356">
        <f>D488+D489</f>
        <v>0</v>
      </c>
      <c r="E490" s="202"/>
      <c r="F490" s="356">
        <f>F488+F489</f>
        <v>0</v>
      </c>
      <c r="G490" s="202"/>
      <c r="H490" s="356">
        <f>H488+H489</f>
        <v>0</v>
      </c>
      <c r="I490" s="202"/>
      <c r="J490" s="356">
        <f>D490+F490+H490</f>
        <v>0</v>
      </c>
    </row>
    <row r="491" spans="1:10">
      <c r="A491" s="367"/>
      <c r="B491" s="94"/>
      <c r="C491" s="203"/>
      <c r="D491" s="203"/>
      <c r="E491" s="203"/>
      <c r="F491" s="203"/>
      <c r="G491" s="203"/>
      <c r="H491" s="368"/>
      <c r="I491" s="203"/>
      <c r="J491" s="203"/>
    </row>
    <row r="492" spans="1:10" ht="24.75" customHeight="1">
      <c r="A492" s="360" t="s">
        <v>425</v>
      </c>
      <c r="B492" s="94"/>
      <c r="C492" s="203"/>
      <c r="D492" s="362" t="s">
        <v>426</v>
      </c>
      <c r="E492" s="648"/>
      <c r="F492" s="369" t="s">
        <v>427</v>
      </c>
      <c r="G492" s="649"/>
      <c r="H492" s="369" t="s">
        <v>428</v>
      </c>
      <c r="I492" s="647" t="s">
        <v>825</v>
      </c>
      <c r="J492" s="363" t="s">
        <v>429</v>
      </c>
    </row>
    <row r="493" spans="1:10">
      <c r="A493" s="364" t="s">
        <v>422</v>
      </c>
      <c r="B493" s="94"/>
      <c r="C493" s="203"/>
      <c r="D493" s="589"/>
      <c r="F493" s="589"/>
      <c r="H493" s="589"/>
      <c r="I493" s="609"/>
      <c r="J493" s="365">
        <f>D493+F493+H493</f>
        <v>0</v>
      </c>
    </row>
    <row r="494" spans="1:10">
      <c r="A494" s="364" t="s">
        <v>423</v>
      </c>
      <c r="B494" s="94"/>
      <c r="C494" s="203"/>
      <c r="D494" s="584"/>
      <c r="F494" s="584"/>
      <c r="H494" s="584"/>
      <c r="J494" s="366">
        <f>D494+F494+H494</f>
        <v>0</v>
      </c>
    </row>
    <row r="495" spans="1:10">
      <c r="A495" s="370" t="s">
        <v>424</v>
      </c>
      <c r="B495" s="94"/>
      <c r="C495" s="203"/>
      <c r="D495" s="356">
        <f>SUM(D493:D494)</f>
        <v>0</v>
      </c>
      <c r="E495" s="202"/>
      <c r="F495" s="356">
        <f>SUM(F493:F494)</f>
        <v>0</v>
      </c>
      <c r="G495" s="202"/>
      <c r="H495" s="356">
        <f>SUM(H493:H494)</f>
        <v>0</v>
      </c>
      <c r="I495" s="202"/>
      <c r="J495" s="356">
        <f>D495+F495+H495</f>
        <v>0</v>
      </c>
    </row>
    <row r="496" spans="1:10">
      <c r="A496" s="371"/>
      <c r="B496" s="372"/>
      <c r="C496" s="372"/>
      <c r="D496" s="372"/>
      <c r="E496" s="372"/>
      <c r="F496" s="372"/>
      <c r="G496" s="372"/>
      <c r="H496" s="372"/>
      <c r="I496" s="372"/>
      <c r="J496" s="372"/>
    </row>
    <row r="497" spans="1:12">
      <c r="A497" s="267"/>
      <c r="B497" s="203"/>
      <c r="C497" s="203"/>
      <c r="D497" s="203"/>
      <c r="E497" s="203"/>
      <c r="F497" s="203"/>
      <c r="G497" s="203"/>
      <c r="H497" s="203"/>
      <c r="I497" s="203"/>
      <c r="J497" s="203"/>
    </row>
    <row r="498" spans="1:12" ht="39.75" customHeight="1">
      <c r="A498" s="776" t="s">
        <v>924</v>
      </c>
      <c r="B498" s="373" t="s">
        <v>9</v>
      </c>
      <c r="C498" s="203"/>
      <c r="D498" s="362" t="s">
        <v>1224</v>
      </c>
      <c r="E498" s="203"/>
      <c r="F498" s="362" t="s">
        <v>1225</v>
      </c>
      <c r="G498" s="646"/>
      <c r="H498" s="369" t="s">
        <v>1226</v>
      </c>
      <c r="I498" s="203"/>
      <c r="J498" s="362" t="s">
        <v>1227</v>
      </c>
      <c r="K498" s="226"/>
      <c r="L498" s="369" t="s">
        <v>1228</v>
      </c>
    </row>
    <row r="499" spans="1:12">
      <c r="A499" s="364" t="s">
        <v>851</v>
      </c>
      <c r="B499" s="170">
        <f>D499+F499+H499+J499+L499</f>
        <v>0</v>
      </c>
      <c r="D499" s="589"/>
      <c r="F499" s="589"/>
      <c r="H499" s="589"/>
      <c r="J499" s="589"/>
      <c r="K499" s="147"/>
      <c r="L499" s="589"/>
    </row>
    <row r="500" spans="1:12">
      <c r="A500" s="364" t="s">
        <v>852</v>
      </c>
      <c r="B500" s="171">
        <f t="shared" ref="B500:B516" si="25">D500+F500+H500+J500+L500</f>
        <v>0</v>
      </c>
      <c r="D500" s="585"/>
      <c r="F500" s="585"/>
      <c r="H500" s="585"/>
      <c r="J500" s="585"/>
      <c r="K500" s="147"/>
      <c r="L500" s="585"/>
    </row>
    <row r="501" spans="1:12">
      <c r="A501" s="364" t="s">
        <v>853</v>
      </c>
      <c r="B501" s="196">
        <f t="shared" si="25"/>
        <v>0</v>
      </c>
      <c r="D501" s="196">
        <f>D502+D503+D504</f>
        <v>0</v>
      </c>
      <c r="F501" s="196">
        <f>F502+F503+F504</f>
        <v>0</v>
      </c>
      <c r="G501" s="147">
        <v>0</v>
      </c>
      <c r="H501" s="196">
        <f>H502+H503+H504</f>
        <v>0</v>
      </c>
      <c r="I501" s="147">
        <v>0</v>
      </c>
      <c r="J501" s="196">
        <f>J502+J503+J504</f>
        <v>0</v>
      </c>
      <c r="K501" s="147"/>
      <c r="L501" s="186">
        <f>L502+L503+L504</f>
        <v>0</v>
      </c>
    </row>
    <row r="502" spans="1:12">
      <c r="A502" s="364" t="s">
        <v>854</v>
      </c>
      <c r="B502" s="233">
        <f t="shared" si="25"/>
        <v>0</v>
      </c>
      <c r="D502" s="589"/>
      <c r="F502" s="589"/>
      <c r="G502" s="147">
        <v>0</v>
      </c>
      <c r="H502" s="589"/>
      <c r="I502" s="147">
        <v>0</v>
      </c>
      <c r="J502" s="589"/>
      <c r="K502" s="147"/>
      <c r="L502" s="589"/>
    </row>
    <row r="503" spans="1:12">
      <c r="A503" s="364" t="s">
        <v>855</v>
      </c>
      <c r="B503" s="233">
        <f t="shared" si="25"/>
        <v>0</v>
      </c>
      <c r="D503" s="585">
        <v>0</v>
      </c>
      <c r="F503" s="585">
        <v>0</v>
      </c>
      <c r="G503" s="147">
        <v>0</v>
      </c>
      <c r="H503" s="585"/>
      <c r="I503" s="147">
        <v>0</v>
      </c>
      <c r="J503" s="585"/>
      <c r="K503" s="147"/>
      <c r="L503" s="585"/>
    </row>
    <row r="504" spans="1:12">
      <c r="A504" s="364" t="s">
        <v>856</v>
      </c>
      <c r="B504" s="233">
        <f t="shared" si="25"/>
        <v>0</v>
      </c>
      <c r="D504" s="585"/>
      <c r="F504" s="585"/>
      <c r="G504" s="147">
        <v>0</v>
      </c>
      <c r="H504" s="585"/>
      <c r="I504" s="147">
        <v>0</v>
      </c>
      <c r="J504" s="585"/>
      <c r="K504" s="147"/>
      <c r="L504" s="585"/>
    </row>
    <row r="505" spans="1:12">
      <c r="A505" s="364" t="s">
        <v>857</v>
      </c>
      <c r="B505" s="233">
        <f t="shared" si="25"/>
        <v>0</v>
      </c>
      <c r="D505" s="196">
        <f>D506+D507</f>
        <v>0</v>
      </c>
      <c r="F505" s="196">
        <f>F506+F507</f>
        <v>0</v>
      </c>
      <c r="G505" s="147">
        <v>0</v>
      </c>
      <c r="H505" s="196">
        <f>H506+H507</f>
        <v>0</v>
      </c>
      <c r="I505" s="147">
        <v>0</v>
      </c>
      <c r="J505" s="196">
        <f>J506+J507</f>
        <v>0</v>
      </c>
      <c r="K505" s="147"/>
      <c r="L505" s="196">
        <f>L506+L507</f>
        <v>0</v>
      </c>
    </row>
    <row r="506" spans="1:12">
      <c r="A506" s="364" t="s">
        <v>858</v>
      </c>
      <c r="B506" s="233">
        <f t="shared" si="25"/>
        <v>0</v>
      </c>
      <c r="D506" s="585"/>
      <c r="F506" s="585"/>
      <c r="G506" s="147">
        <v>0</v>
      </c>
      <c r="H506" s="585"/>
      <c r="I506" s="147">
        <v>0</v>
      </c>
      <c r="J506" s="585"/>
      <c r="K506" s="147"/>
      <c r="L506" s="585"/>
    </row>
    <row r="507" spans="1:12">
      <c r="A507" s="364" t="s">
        <v>859</v>
      </c>
      <c r="B507" s="170">
        <f t="shared" si="25"/>
        <v>0</v>
      </c>
      <c r="D507" s="585"/>
      <c r="F507" s="585"/>
      <c r="G507" s="147">
        <v>0</v>
      </c>
      <c r="H507" s="585"/>
      <c r="I507" s="147">
        <v>0</v>
      </c>
      <c r="J507" s="585"/>
      <c r="K507" s="147"/>
      <c r="L507" s="585">
        <v>0</v>
      </c>
    </row>
    <row r="508" spans="1:12">
      <c r="A508" s="364" t="s">
        <v>860</v>
      </c>
      <c r="B508" s="196">
        <f t="shared" si="25"/>
        <v>0</v>
      </c>
      <c r="D508" s="196">
        <f>D509+D510+D511</f>
        <v>0</v>
      </c>
      <c r="F508" s="196">
        <f>F509+F510+F511</f>
        <v>0</v>
      </c>
      <c r="G508" s="147">
        <v>0</v>
      </c>
      <c r="H508" s="196">
        <f>H509+H510+H511</f>
        <v>0</v>
      </c>
      <c r="I508" s="147">
        <v>0</v>
      </c>
      <c r="J508" s="196">
        <f>J509+J510+J511</f>
        <v>0</v>
      </c>
      <c r="K508" s="147"/>
      <c r="L508" s="196">
        <f>L509+L510+L511</f>
        <v>0</v>
      </c>
    </row>
    <row r="509" spans="1:12">
      <c r="A509" s="364" t="s">
        <v>861</v>
      </c>
      <c r="B509" s="233">
        <f t="shared" si="25"/>
        <v>0</v>
      </c>
      <c r="D509" s="589"/>
      <c r="F509" s="589"/>
      <c r="H509" s="589"/>
      <c r="J509" s="589"/>
      <c r="K509" s="147"/>
      <c r="L509" s="589"/>
    </row>
    <row r="510" spans="1:12">
      <c r="A510" s="364" t="s">
        <v>862</v>
      </c>
      <c r="B510" s="170">
        <f t="shared" si="25"/>
        <v>0</v>
      </c>
      <c r="D510" s="585"/>
      <c r="F510" s="585"/>
      <c r="H510" s="585"/>
      <c r="J510" s="585"/>
      <c r="K510" s="147"/>
      <c r="L510" s="585"/>
    </row>
    <row r="511" spans="1:12">
      <c r="A511" s="364" t="s">
        <v>863</v>
      </c>
      <c r="B511" s="196">
        <f t="shared" si="25"/>
        <v>0</v>
      </c>
      <c r="D511" s="585"/>
      <c r="F511" s="585"/>
      <c r="H511" s="585"/>
      <c r="J511" s="585"/>
      <c r="K511" s="147"/>
      <c r="L511" s="585"/>
    </row>
    <row r="512" spans="1:12">
      <c r="A512" s="364" t="s">
        <v>864</v>
      </c>
      <c r="B512" s="196">
        <f t="shared" si="25"/>
        <v>0</v>
      </c>
      <c r="D512" s="196">
        <f>D513+D514+D515</f>
        <v>0</v>
      </c>
      <c r="F512" s="196">
        <f>F513+F514+F515</f>
        <v>0</v>
      </c>
      <c r="G512" s="147">
        <v>0</v>
      </c>
      <c r="H512" s="196">
        <f>H513+H514+H515</f>
        <v>0</v>
      </c>
      <c r="I512" s="147">
        <v>0</v>
      </c>
      <c r="J512" s="196">
        <f>J513+J514+J515</f>
        <v>0</v>
      </c>
      <c r="K512" s="147"/>
      <c r="L512" s="196">
        <f>L513+L514+L515</f>
        <v>0</v>
      </c>
    </row>
    <row r="513" spans="1:12">
      <c r="A513" s="364" t="s">
        <v>865</v>
      </c>
      <c r="B513" s="233">
        <f t="shared" si="25"/>
        <v>0</v>
      </c>
      <c r="D513" s="589"/>
      <c r="F513" s="589"/>
      <c r="H513" s="589"/>
      <c r="J513" s="589"/>
      <c r="K513" s="147"/>
      <c r="L513" s="589"/>
    </row>
    <row r="514" spans="1:12">
      <c r="A514" s="364" t="s">
        <v>866</v>
      </c>
      <c r="B514" s="170">
        <f t="shared" si="25"/>
        <v>0</v>
      </c>
      <c r="D514" s="585"/>
      <c r="F514" s="585"/>
      <c r="H514" s="585"/>
      <c r="J514" s="585"/>
      <c r="K514" s="147"/>
      <c r="L514" s="585"/>
    </row>
    <row r="515" spans="1:12">
      <c r="A515" s="364" t="s">
        <v>867</v>
      </c>
      <c r="B515" s="196">
        <f t="shared" si="25"/>
        <v>0</v>
      </c>
      <c r="D515" s="585"/>
      <c r="F515" s="585"/>
      <c r="H515" s="585"/>
      <c r="J515" s="585"/>
      <c r="K515" s="147"/>
      <c r="L515" s="585"/>
    </row>
    <row r="516" spans="1:12">
      <c r="A516" s="155" t="s">
        <v>424</v>
      </c>
      <c r="B516" s="172">
        <f t="shared" si="25"/>
        <v>0</v>
      </c>
      <c r="D516" s="356">
        <f>SUM(D499+D500+D501+D505+D508+D512)</f>
        <v>0</v>
      </c>
      <c r="F516" s="356">
        <f>SUM(F499+F500+F501+F505+F508+F512)</f>
        <v>0</v>
      </c>
      <c r="G516" s="202"/>
      <c r="H516" s="356">
        <f>SUM(H499+H500+H501+H505+H508+H512)</f>
        <v>0</v>
      </c>
      <c r="I516" s="202"/>
      <c r="J516" s="356">
        <f>SUM(J499+J500+J501+J505+J508+J512)</f>
        <v>0</v>
      </c>
      <c r="K516" s="202"/>
      <c r="L516" s="356">
        <f>SUM(L499+L500+L501+L505+L508+L512)</f>
        <v>0</v>
      </c>
    </row>
    <row r="517" spans="1:12">
      <c r="A517" s="164"/>
      <c r="B517" s="94"/>
      <c r="C517" s="203"/>
      <c r="D517" s="94"/>
      <c r="E517" s="203"/>
      <c r="F517" s="94"/>
      <c r="G517" s="203"/>
      <c r="H517" s="94"/>
      <c r="I517" s="94"/>
      <c r="J517" s="94"/>
    </row>
    <row r="518" spans="1:12">
      <c r="A518" s="333"/>
      <c r="B518" s="358"/>
      <c r="C518" s="358"/>
      <c r="D518" s="288"/>
      <c r="E518" s="288"/>
      <c r="F518" s="288"/>
      <c r="G518" s="358"/>
      <c r="H518" s="288"/>
      <c r="I518" s="288"/>
      <c r="J518" s="288"/>
    </row>
    <row r="519" spans="1:12" ht="13.5">
      <c r="A519" s="334"/>
      <c r="B519" s="827" t="s">
        <v>9</v>
      </c>
      <c r="C519" s="203"/>
      <c r="D519" s="126" t="s">
        <v>10</v>
      </c>
      <c r="E519" s="567"/>
      <c r="F519" s="127"/>
      <c r="G519" s="203"/>
      <c r="H519" s="126" t="s">
        <v>11</v>
      </c>
      <c r="I519" s="567"/>
      <c r="J519" s="127"/>
    </row>
    <row r="520" spans="1:12" ht="25.5">
      <c r="A520" s="374" t="s">
        <v>431</v>
      </c>
      <c r="B520" s="828"/>
      <c r="C520" s="203"/>
      <c r="D520" s="128" t="s">
        <v>193</v>
      </c>
      <c r="E520" s="568"/>
      <c r="F520" s="129" t="s">
        <v>194</v>
      </c>
      <c r="G520" s="203"/>
      <c r="H520" s="128" t="s">
        <v>193</v>
      </c>
      <c r="I520" s="568"/>
      <c r="J520" s="129" t="s">
        <v>194</v>
      </c>
    </row>
    <row r="521" spans="1:12">
      <c r="A521" s="189" t="s">
        <v>432</v>
      </c>
      <c r="B521" s="272">
        <f t="shared" ref="B521:B537" si="26">SUM(D521,F521,H521,J521)</f>
        <v>0</v>
      </c>
      <c r="C521" s="375"/>
      <c r="D521" s="186">
        <f>D522+D526</f>
        <v>0</v>
      </c>
      <c r="F521" s="186">
        <f>F522+F526</f>
        <v>0</v>
      </c>
      <c r="H521" s="186">
        <f>H522+H526</f>
        <v>0</v>
      </c>
      <c r="I521" s="209"/>
      <c r="J521" s="186">
        <f>J522+J526</f>
        <v>0</v>
      </c>
    </row>
    <row r="522" spans="1:12">
      <c r="A522" s="189" t="s">
        <v>433</v>
      </c>
      <c r="B522" s="272">
        <f t="shared" si="26"/>
        <v>0</v>
      </c>
      <c r="C522" s="375"/>
      <c r="D522" s="186">
        <f>SUM(D523:D525)</f>
        <v>0</v>
      </c>
      <c r="F522" s="186">
        <f>SUM(F523:F525)</f>
        <v>0</v>
      </c>
      <c r="H522" s="186">
        <f>SUM(H523:H525)</f>
        <v>0</v>
      </c>
      <c r="I522" s="209"/>
      <c r="J522" s="186">
        <f>SUM(J523:J525)</f>
        <v>0</v>
      </c>
    </row>
    <row r="523" spans="1:12">
      <c r="A523" s="376" t="s">
        <v>434</v>
      </c>
      <c r="B523" s="233">
        <f t="shared" si="26"/>
        <v>0</v>
      </c>
      <c r="C523" s="377"/>
      <c r="D523" s="585"/>
      <c r="E523" s="269"/>
      <c r="F523" s="585"/>
      <c r="G523" s="342"/>
      <c r="H523" s="585"/>
      <c r="I523" s="342"/>
      <c r="J523" s="585"/>
    </row>
    <row r="524" spans="1:12">
      <c r="A524" s="97" t="s">
        <v>435</v>
      </c>
      <c r="B524" s="233">
        <f t="shared" si="26"/>
        <v>0</v>
      </c>
      <c r="C524" s="377"/>
      <c r="D524" s="585"/>
      <c r="E524" s="269"/>
      <c r="F524" s="585"/>
      <c r="G524" s="336"/>
      <c r="H524" s="585"/>
      <c r="I524" s="269"/>
      <c r="J524" s="585"/>
    </row>
    <row r="525" spans="1:12">
      <c r="A525" s="97" t="s">
        <v>436</v>
      </c>
      <c r="B525" s="233">
        <f t="shared" si="26"/>
        <v>0</v>
      </c>
      <c r="C525" s="377"/>
      <c r="D525" s="585"/>
      <c r="E525" s="269"/>
      <c r="F525" s="585"/>
      <c r="G525" s="336"/>
      <c r="H525" s="585"/>
      <c r="I525" s="269"/>
      <c r="J525" s="585"/>
    </row>
    <row r="526" spans="1:12">
      <c r="A526" s="189" t="s">
        <v>437</v>
      </c>
      <c r="B526" s="272">
        <f t="shared" si="26"/>
        <v>0</v>
      </c>
      <c r="C526" s="375"/>
      <c r="D526" s="186">
        <f>SUM(D527:D529)</f>
        <v>0</v>
      </c>
      <c r="F526" s="186">
        <f>SUM(F527:F529)</f>
        <v>0</v>
      </c>
      <c r="H526" s="186">
        <f>SUM(H527:H529)</f>
        <v>0</v>
      </c>
      <c r="I526" s="209"/>
      <c r="J526" s="186">
        <f>SUM(J527:J529)</f>
        <v>0</v>
      </c>
    </row>
    <row r="527" spans="1:12">
      <c r="A527" s="376" t="s">
        <v>438</v>
      </c>
      <c r="B527" s="233">
        <f t="shared" si="26"/>
        <v>0</v>
      </c>
      <c r="C527" s="377"/>
      <c r="D527" s="585"/>
      <c r="E527" s="269"/>
      <c r="F527" s="585"/>
      <c r="G527" s="342"/>
      <c r="H527" s="585"/>
      <c r="I527" s="342"/>
      <c r="J527" s="585"/>
    </row>
    <row r="528" spans="1:12">
      <c r="A528" s="97" t="s">
        <v>439</v>
      </c>
      <c r="B528" s="233">
        <f t="shared" si="26"/>
        <v>0</v>
      </c>
      <c r="C528" s="377"/>
      <c r="D528" s="585"/>
      <c r="E528" s="269"/>
      <c r="F528" s="585"/>
      <c r="G528" s="336"/>
      <c r="H528" s="585"/>
      <c r="I528" s="269"/>
      <c r="J528" s="585"/>
    </row>
    <row r="529" spans="1:10">
      <c r="A529" s="97" t="s">
        <v>440</v>
      </c>
      <c r="B529" s="233">
        <f t="shared" si="26"/>
        <v>0</v>
      </c>
      <c r="C529" s="377"/>
      <c r="D529" s="585"/>
      <c r="E529" s="269"/>
      <c r="F529" s="585"/>
      <c r="G529" s="336"/>
      <c r="H529" s="585"/>
      <c r="I529" s="269"/>
      <c r="J529" s="585"/>
    </row>
    <row r="530" spans="1:10">
      <c r="A530" s="156" t="s">
        <v>441</v>
      </c>
      <c r="B530" s="272">
        <f t="shared" si="26"/>
        <v>0</v>
      </c>
      <c r="C530" s="375"/>
      <c r="D530" s="186">
        <f>SUM(D531:D534)+D538+D539+D542+D545</f>
        <v>0</v>
      </c>
      <c r="F530" s="186">
        <f>SUM(F531:F534)+F538+F539+F542+F545</f>
        <v>0</v>
      </c>
      <c r="H530" s="186">
        <f>SUM(H531:H534)+H538+H539+H542+H545</f>
        <v>0</v>
      </c>
      <c r="I530" s="209"/>
      <c r="J530" s="186">
        <f>SUM(J531:J534)+J538+J539+J542+J545</f>
        <v>0</v>
      </c>
    </row>
    <row r="531" spans="1:10">
      <c r="A531" s="156" t="s">
        <v>442</v>
      </c>
      <c r="B531" s="233">
        <f t="shared" si="26"/>
        <v>0</v>
      </c>
      <c r="C531" s="377"/>
      <c r="D531" s="585"/>
      <c r="E531" s="269"/>
      <c r="F531" s="585"/>
      <c r="G531" s="342"/>
      <c r="H531" s="585"/>
      <c r="I531" s="342"/>
      <c r="J531" s="585"/>
    </row>
    <row r="532" spans="1:10">
      <c r="A532" s="156" t="s">
        <v>443</v>
      </c>
      <c r="B532" s="233">
        <f t="shared" si="26"/>
        <v>0</v>
      </c>
      <c r="C532" s="377"/>
      <c r="D532" s="585"/>
      <c r="E532" s="269"/>
      <c r="F532" s="585"/>
      <c r="G532" s="336"/>
      <c r="H532" s="585"/>
      <c r="I532" s="269"/>
      <c r="J532" s="585"/>
    </row>
    <row r="533" spans="1:10">
      <c r="A533" s="156" t="s">
        <v>444</v>
      </c>
      <c r="B533" s="233">
        <f t="shared" si="26"/>
        <v>0</v>
      </c>
      <c r="C533" s="377"/>
      <c r="D533" s="585"/>
      <c r="E533" s="269"/>
      <c r="F533" s="585"/>
      <c r="G533" s="336"/>
      <c r="H533" s="585"/>
      <c r="I533" s="269"/>
      <c r="J533" s="585"/>
    </row>
    <row r="534" spans="1:10">
      <c r="A534" s="156" t="s">
        <v>445</v>
      </c>
      <c r="B534" s="272">
        <f t="shared" si="26"/>
        <v>0</v>
      </c>
      <c r="C534" s="375"/>
      <c r="D534" s="186">
        <f>SUM(D535:D537)</f>
        <v>0</v>
      </c>
      <c r="F534" s="186">
        <f>SUM(F535:F537)</f>
        <v>0</v>
      </c>
      <c r="H534" s="186">
        <f>SUM(H535:H537)</f>
        <v>0</v>
      </c>
      <c r="I534" s="209"/>
      <c r="J534" s="186">
        <f>SUM(J535:J537)</f>
        <v>0</v>
      </c>
    </row>
    <row r="535" spans="1:10">
      <c r="A535" s="156" t="s">
        <v>446</v>
      </c>
      <c r="B535" s="233">
        <f t="shared" si="26"/>
        <v>0</v>
      </c>
      <c r="C535" s="377"/>
      <c r="D535" s="585"/>
      <c r="E535" s="269"/>
      <c r="F535" s="585"/>
      <c r="G535" s="342"/>
      <c r="H535" s="585"/>
      <c r="I535" s="342"/>
      <c r="J535" s="585"/>
    </row>
    <row r="536" spans="1:10">
      <c r="A536" s="156" t="s">
        <v>447</v>
      </c>
      <c r="B536" s="233">
        <f t="shared" si="26"/>
        <v>0</v>
      </c>
      <c r="C536" s="377"/>
      <c r="D536" s="585"/>
      <c r="E536" s="269"/>
      <c r="F536" s="585"/>
      <c r="G536" s="336"/>
      <c r="H536" s="585"/>
      <c r="I536" s="269"/>
      <c r="J536" s="585"/>
    </row>
    <row r="537" spans="1:10">
      <c r="A537" s="156" t="s">
        <v>448</v>
      </c>
      <c r="B537" s="233">
        <f t="shared" si="26"/>
        <v>0</v>
      </c>
      <c r="C537" s="377"/>
      <c r="D537" s="585"/>
      <c r="E537" s="269"/>
      <c r="F537" s="585"/>
      <c r="G537" s="336"/>
      <c r="H537" s="585"/>
      <c r="I537" s="269"/>
      <c r="J537" s="585"/>
    </row>
    <row r="538" spans="1:10">
      <c r="A538" s="156" t="s">
        <v>449</v>
      </c>
      <c r="B538" s="233">
        <f t="shared" ref="B538:B545" si="27">SUM(D538,F538,H538,J538)</f>
        <v>0</v>
      </c>
      <c r="C538" s="377"/>
      <c r="D538" s="585"/>
      <c r="E538" s="269"/>
      <c r="F538" s="585"/>
      <c r="G538" s="336"/>
      <c r="H538" s="585"/>
      <c r="I538" s="269"/>
      <c r="J538" s="585"/>
    </row>
    <row r="539" spans="1:10">
      <c r="A539" s="156" t="s">
        <v>450</v>
      </c>
      <c r="B539" s="272">
        <f t="shared" si="27"/>
        <v>0</v>
      </c>
      <c r="C539" s="375"/>
      <c r="D539" s="186">
        <f>D540+D541</f>
        <v>0</v>
      </c>
      <c r="F539" s="186">
        <f>F540+F541</f>
        <v>0</v>
      </c>
      <c r="H539" s="186">
        <f>H541</f>
        <v>0</v>
      </c>
      <c r="I539" s="209"/>
      <c r="J539" s="186">
        <f>J541</f>
        <v>0</v>
      </c>
    </row>
    <row r="540" spans="1:10">
      <c r="A540" s="156" t="s">
        <v>451</v>
      </c>
      <c r="B540" s="233">
        <f t="shared" si="27"/>
        <v>0</v>
      </c>
      <c r="C540" s="377"/>
      <c r="D540" s="585"/>
      <c r="E540" s="269"/>
      <c r="F540" s="585"/>
      <c r="G540" s="342"/>
      <c r="H540" s="348" t="s">
        <v>46</v>
      </c>
      <c r="I540" s="342"/>
      <c r="J540" s="348" t="s">
        <v>46</v>
      </c>
    </row>
    <row r="541" spans="1:10">
      <c r="A541" s="156" t="s">
        <v>452</v>
      </c>
      <c r="B541" s="233">
        <f t="shared" si="27"/>
        <v>0</v>
      </c>
      <c r="C541" s="377"/>
      <c r="D541" s="585"/>
      <c r="E541" s="269"/>
      <c r="F541" s="585"/>
      <c r="G541" s="336"/>
      <c r="H541" s="585"/>
      <c r="I541" s="269"/>
      <c r="J541" s="585"/>
    </row>
    <row r="542" spans="1:10">
      <c r="A542" s="229" t="s">
        <v>453</v>
      </c>
      <c r="B542" s="272">
        <f t="shared" si="27"/>
        <v>0</v>
      </c>
      <c r="C542" s="375"/>
      <c r="D542" s="186">
        <f>D543+D544</f>
        <v>0</v>
      </c>
      <c r="F542" s="186">
        <f>F543+F544</f>
        <v>0</v>
      </c>
      <c r="H542" s="186">
        <f>H543+H544</f>
        <v>0</v>
      </c>
      <c r="I542" s="209"/>
      <c r="J542" s="186">
        <f>J543+J544</f>
        <v>0</v>
      </c>
    </row>
    <row r="543" spans="1:10">
      <c r="A543" s="229" t="s">
        <v>454</v>
      </c>
      <c r="B543" s="233">
        <f t="shared" si="27"/>
        <v>0</v>
      </c>
      <c r="C543" s="377"/>
      <c r="D543" s="585"/>
      <c r="E543" s="269"/>
      <c r="F543" s="585"/>
      <c r="G543" s="342"/>
      <c r="H543" s="585"/>
      <c r="I543" s="342"/>
      <c r="J543" s="585"/>
    </row>
    <row r="544" spans="1:10">
      <c r="A544" s="229" t="s">
        <v>455</v>
      </c>
      <c r="B544" s="233">
        <f t="shared" si="27"/>
        <v>0</v>
      </c>
      <c r="C544" s="377"/>
      <c r="D544" s="585"/>
      <c r="E544" s="269"/>
      <c r="F544" s="585"/>
      <c r="G544" s="336"/>
      <c r="H544" s="585"/>
      <c r="I544" s="269"/>
      <c r="J544" s="585"/>
    </row>
    <row r="545" spans="1:10">
      <c r="A545" s="229" t="s">
        <v>456</v>
      </c>
      <c r="B545" s="233">
        <f t="shared" si="27"/>
        <v>0</v>
      </c>
      <c r="C545" s="377"/>
      <c r="D545" s="585"/>
      <c r="E545" s="269"/>
      <c r="F545" s="585"/>
      <c r="G545" s="336"/>
      <c r="H545" s="585"/>
      <c r="I545" s="269"/>
      <c r="J545" s="585"/>
    </row>
    <row r="546" spans="1:10">
      <c r="A546" s="378"/>
      <c r="B546" s="94"/>
      <c r="C546" s="203"/>
      <c r="D546" s="94"/>
      <c r="E546" s="94"/>
      <c r="F546" s="94"/>
      <c r="G546" s="203"/>
      <c r="H546" s="203"/>
      <c r="I546" s="94"/>
      <c r="J546" s="94"/>
    </row>
    <row r="547" spans="1:10">
      <c r="A547" s="379"/>
      <c r="B547" s="358"/>
      <c r="C547" s="203"/>
      <c r="D547" s="358"/>
      <c r="E547" s="203"/>
      <c r="F547" s="218"/>
      <c r="G547" s="203"/>
      <c r="H547" s="203"/>
      <c r="I547" s="203"/>
      <c r="J547" s="203"/>
    </row>
    <row r="548" spans="1:10" ht="13.5">
      <c r="A548" s="156" t="s">
        <v>457</v>
      </c>
      <c r="B548" s="154" t="s">
        <v>9</v>
      </c>
      <c r="C548" s="203"/>
      <c r="D548" s="361" t="s">
        <v>458</v>
      </c>
      <c r="E548" s="646"/>
      <c r="F548" s="361" t="s">
        <v>459</v>
      </c>
      <c r="G548" s="203"/>
      <c r="H548" s="361" t="s">
        <v>430</v>
      </c>
      <c r="I548" s="226"/>
      <c r="J548" s="363" t="s">
        <v>460</v>
      </c>
    </row>
    <row r="549" spans="1:10">
      <c r="A549" s="380" t="s">
        <v>461</v>
      </c>
      <c r="B549" s="172">
        <f>D549+F549+H549+J549</f>
        <v>0</v>
      </c>
      <c r="D549" s="381">
        <f>D550+D551</f>
        <v>0</v>
      </c>
      <c r="F549" s="381">
        <f>F550+F551</f>
        <v>0</v>
      </c>
      <c r="H549" s="381">
        <f>H550+H551</f>
        <v>0</v>
      </c>
      <c r="J549" s="381">
        <f>J550+J551</f>
        <v>0</v>
      </c>
    </row>
    <row r="550" spans="1:10">
      <c r="A550" s="380" t="s">
        <v>462</v>
      </c>
      <c r="B550" s="170">
        <f>D550+F550+H550+J550</f>
        <v>0</v>
      </c>
      <c r="D550" s="589"/>
      <c r="F550" s="589"/>
      <c r="H550" s="589"/>
      <c r="J550" s="589"/>
    </row>
    <row r="551" spans="1:10">
      <c r="A551" s="380" t="s">
        <v>463</v>
      </c>
      <c r="B551" s="171">
        <f>D551+F551+H551+J551</f>
        <v>0</v>
      </c>
      <c r="D551" s="585"/>
      <c r="F551" s="585"/>
      <c r="H551" s="585"/>
      <c r="J551" s="585"/>
    </row>
    <row r="552" spans="1:10">
      <c r="A552" s="380" t="s">
        <v>464</v>
      </c>
      <c r="B552" s="171">
        <f>D552+F552+H552+J552</f>
        <v>0</v>
      </c>
      <c r="D552" s="585"/>
      <c r="F552" s="585"/>
      <c r="H552" s="585"/>
      <c r="J552" s="585"/>
    </row>
    <row r="553" spans="1:10" ht="14.25" customHeight="1">
      <c r="A553" s="380" t="s">
        <v>465</v>
      </c>
      <c r="B553" s="172">
        <f>D553+F553+H553+J553</f>
        <v>0</v>
      </c>
      <c r="D553" s="196">
        <f>D554+D555+D556</f>
        <v>0</v>
      </c>
      <c r="F553" s="196">
        <f>F554+F555+F556</f>
        <v>0</v>
      </c>
      <c r="H553" s="196">
        <f>H554+H555+H556</f>
        <v>0</v>
      </c>
      <c r="J553" s="196">
        <f>J554+J555+J556</f>
        <v>0</v>
      </c>
    </row>
    <row r="554" spans="1:10">
      <c r="A554" s="164" t="s">
        <v>466</v>
      </c>
      <c r="B554" s="171">
        <f t="shared" ref="B554:B561" si="28">D554+F554+H554+J554</f>
        <v>0</v>
      </c>
      <c r="D554" s="589"/>
      <c r="F554" s="589"/>
      <c r="H554" s="589"/>
      <c r="J554" s="589"/>
    </row>
    <row r="555" spans="1:10">
      <c r="A555" s="164" t="s">
        <v>467</v>
      </c>
      <c r="B555" s="171">
        <f t="shared" si="28"/>
        <v>0</v>
      </c>
      <c r="D555" s="585"/>
      <c r="F555" s="585"/>
      <c r="H555" s="585"/>
      <c r="J555" s="585"/>
    </row>
    <row r="556" spans="1:10">
      <c r="A556" s="164" t="s">
        <v>468</v>
      </c>
      <c r="B556" s="171">
        <f t="shared" si="28"/>
        <v>0</v>
      </c>
      <c r="D556" s="585"/>
      <c r="F556" s="585"/>
      <c r="H556" s="585"/>
      <c r="J556" s="585"/>
    </row>
    <row r="557" spans="1:10">
      <c r="A557" s="380" t="s">
        <v>469</v>
      </c>
      <c r="B557" s="172">
        <f t="shared" si="28"/>
        <v>0</v>
      </c>
      <c r="D557" s="196">
        <f>D558+D559</f>
        <v>0</v>
      </c>
      <c r="F557" s="196">
        <f>F558+F559</f>
        <v>0</v>
      </c>
      <c r="H557" s="196">
        <f>H558+H559</f>
        <v>0</v>
      </c>
      <c r="J557" s="196">
        <f>J558+J559</f>
        <v>0</v>
      </c>
    </row>
    <row r="558" spans="1:10">
      <c r="A558" s="164" t="s">
        <v>470</v>
      </c>
      <c r="B558" s="171">
        <f t="shared" si="28"/>
        <v>0</v>
      </c>
      <c r="D558" s="589"/>
      <c r="F558" s="589"/>
      <c r="H558" s="589"/>
      <c r="J558" s="589"/>
    </row>
    <row r="559" spans="1:10">
      <c r="A559" s="164" t="s">
        <v>471</v>
      </c>
      <c r="B559" s="171">
        <f t="shared" si="28"/>
        <v>0</v>
      </c>
      <c r="D559" s="585"/>
      <c r="F559" s="585"/>
      <c r="H559" s="585"/>
      <c r="J559" s="585"/>
    </row>
    <row r="560" spans="1:10">
      <c r="A560" s="164" t="s">
        <v>472</v>
      </c>
      <c r="B560" s="172">
        <f t="shared" si="28"/>
        <v>0</v>
      </c>
      <c r="D560" s="585"/>
      <c r="F560" s="585"/>
      <c r="H560" s="585"/>
      <c r="J560" s="585"/>
    </row>
    <row r="561" spans="1:10">
      <c r="A561" s="155" t="s">
        <v>473</v>
      </c>
      <c r="B561" s="172">
        <f t="shared" si="28"/>
        <v>0</v>
      </c>
      <c r="D561" s="381">
        <f>SUM(D549,D552,D553,D557,D560)</f>
        <v>0</v>
      </c>
      <c r="F561" s="381">
        <f>SUM(F549,F552,F553,F557,F560)</f>
        <v>0</v>
      </c>
      <c r="H561" s="381">
        <f>SUM(H549,H552,H553,H557,H560)</f>
        <v>0</v>
      </c>
      <c r="J561" s="381">
        <f>SUM(J549,J552,J553,J557,J560)</f>
        <v>0</v>
      </c>
    </row>
    <row r="562" spans="1:10">
      <c r="B562" s="94"/>
      <c r="C562" s="203"/>
      <c r="D562" s="94"/>
      <c r="E562" s="203"/>
      <c r="F562" s="94"/>
      <c r="G562" s="203"/>
      <c r="H562" s="94"/>
      <c r="I562" s="203"/>
      <c r="J562" s="94"/>
    </row>
    <row r="563" spans="1:10">
      <c r="B563" s="94"/>
      <c r="C563" s="203"/>
      <c r="D563" s="94"/>
      <c r="E563" s="203"/>
      <c r="F563" s="94"/>
      <c r="G563" s="203"/>
      <c r="H563" s="94"/>
      <c r="I563" s="203"/>
      <c r="J563" s="94"/>
    </row>
    <row r="564" spans="1:10" ht="13.5">
      <c r="C564" s="203"/>
      <c r="D564" s="11"/>
      <c r="E564" s="11"/>
      <c r="F564" s="11"/>
      <c r="G564" s="203"/>
      <c r="H564" s="162"/>
      <c r="I564" s="263"/>
      <c r="J564" s="263"/>
    </row>
    <row r="565" spans="1:10" ht="13.5">
      <c r="A565" s="374" t="s">
        <v>474</v>
      </c>
      <c r="B565" s="373" t="s">
        <v>9</v>
      </c>
      <c r="C565" s="203"/>
      <c r="D565" s="11"/>
      <c r="E565" s="11"/>
      <c r="F565" s="11"/>
      <c r="G565" s="203"/>
      <c r="H565" s="382"/>
      <c r="I565" s="203"/>
      <c r="J565" s="382"/>
    </row>
    <row r="566" spans="1:10">
      <c r="A566" s="189" t="s">
        <v>475</v>
      </c>
      <c r="B566" s="589">
        <v>0</v>
      </c>
      <c r="C566" s="650"/>
      <c r="D566" s="11"/>
      <c r="E566" s="11"/>
      <c r="F566" s="11"/>
      <c r="G566" s="650"/>
      <c r="H566" s="319"/>
      <c r="I566" s="203"/>
      <c r="J566" s="383"/>
    </row>
    <row r="567" spans="1:10">
      <c r="A567" s="24"/>
    </row>
    <row r="568" spans="1:10">
      <c r="A568" s="24"/>
    </row>
    <row r="569" spans="1:10">
      <c r="A569" s="24"/>
    </row>
    <row r="570" spans="1:10">
      <c r="A570" s="24"/>
    </row>
    <row r="571" spans="1:10">
      <c r="A571" s="24"/>
    </row>
    <row r="572" spans="1:10">
      <c r="A572" s="24"/>
    </row>
    <row r="573" spans="1:10">
      <c r="A573" s="24"/>
    </row>
    <row r="574" spans="1:10">
      <c r="A574" s="24"/>
    </row>
    <row r="575" spans="1:10" ht="15.75">
      <c r="A575" s="384"/>
      <c r="D575" s="147"/>
      <c r="E575" s="199"/>
      <c r="F575" s="385"/>
      <c r="H575" s="199"/>
      <c r="I575" s="199"/>
      <c r="J575" s="199"/>
    </row>
    <row r="576" spans="1:10">
      <c r="A576" s="88" t="s">
        <v>0</v>
      </c>
      <c r="D576" s="147"/>
      <c r="F576" s="97"/>
      <c r="H576" s="88" t="s">
        <v>1</v>
      </c>
    </row>
    <row r="577" spans="1:10">
      <c r="A577" s="89" t="s">
        <v>2</v>
      </c>
      <c r="D577" s="147"/>
    </row>
    <row r="578" spans="1:10">
      <c r="A578" s="84"/>
      <c r="D578" s="147"/>
    </row>
    <row r="579" spans="1:10">
      <c r="A579" s="84"/>
      <c r="D579" s="147"/>
    </row>
    <row r="580" spans="1:10" ht="18" customHeight="1">
      <c r="A580" s="84"/>
      <c r="D580" s="147"/>
    </row>
    <row r="581" spans="1:10" ht="14.25" customHeight="1">
      <c r="A581" s="84"/>
      <c r="D581" s="147"/>
    </row>
    <row r="582" spans="1:10">
      <c r="A582" s="84"/>
      <c r="D582" s="147"/>
    </row>
    <row r="583" spans="1:10" ht="15.75">
      <c r="A583" s="386"/>
      <c r="D583" s="147"/>
      <c r="E583" s="199"/>
      <c r="F583" s="87"/>
      <c r="H583" s="199"/>
      <c r="I583" s="199"/>
      <c r="J583" s="199"/>
    </row>
    <row r="584" spans="1:10">
      <c r="A584" s="387" t="s">
        <v>3</v>
      </c>
      <c r="F584" s="97"/>
      <c r="H584" s="88" t="s">
        <v>4</v>
      </c>
    </row>
    <row r="585" spans="1:10" ht="16.5" customHeight="1">
      <c r="A585" s="89" t="s">
        <v>2</v>
      </c>
      <c r="F585" s="97"/>
    </row>
    <row r="586" spans="1:10">
      <c r="A586" s="89"/>
      <c r="F586" s="97"/>
    </row>
    <row r="587" spans="1:10">
      <c r="A587" s="89"/>
      <c r="F587" s="97"/>
    </row>
    <row r="588" spans="1:10">
      <c r="A588" s="84"/>
      <c r="F588" s="97"/>
    </row>
    <row r="589" spans="1:10">
      <c r="A589" s="84"/>
      <c r="F589" s="97"/>
    </row>
    <row r="590" spans="1:10">
      <c r="A590" s="84"/>
      <c r="F590" s="97"/>
    </row>
    <row r="591" spans="1:10">
      <c r="A591" s="388"/>
      <c r="D591" s="147"/>
      <c r="E591" s="199"/>
      <c r="F591" s="389"/>
      <c r="H591" s="91"/>
      <c r="I591" s="199"/>
      <c r="J591" s="199"/>
    </row>
    <row r="592" spans="1:10">
      <c r="A592" s="387" t="s">
        <v>5</v>
      </c>
      <c r="F592" s="97"/>
      <c r="H592" s="89" t="s">
        <v>6</v>
      </c>
    </row>
    <row r="593" spans="1:1">
      <c r="A593" s="390" t="s">
        <v>7</v>
      </c>
    </row>
    <row r="594" spans="1:1">
      <c r="A594" s="92"/>
    </row>
    <row r="595" spans="1:1">
      <c r="A595" s="82"/>
    </row>
    <row r="596" spans="1:1">
      <c r="A596" s="24"/>
    </row>
    <row r="597" spans="1:1" ht="18" customHeight="1"/>
    <row r="601" spans="1:1" ht="14.25" customHeight="1"/>
    <row r="613" ht="17.25" customHeight="1"/>
    <row r="625" ht="15.75" customHeight="1"/>
    <row r="706" spans="1:1">
      <c r="A706" s="380"/>
    </row>
  </sheetData>
  <sheetProtection password="DE3C" sheet="1" objects="1" scenarios="1"/>
  <mergeCells count="23">
    <mergeCell ref="B17:B18"/>
    <mergeCell ref="H5:J5"/>
    <mergeCell ref="B5:B6"/>
    <mergeCell ref="B31:B32"/>
    <mergeCell ref="H31:J31"/>
    <mergeCell ref="D5:F5"/>
    <mergeCell ref="D17:F17"/>
    <mergeCell ref="H17:J17"/>
    <mergeCell ref="B68:B69"/>
    <mergeCell ref="B77:B78"/>
    <mergeCell ref="B144:B145"/>
    <mergeCell ref="B305:B306"/>
    <mergeCell ref="B271:B272"/>
    <mergeCell ref="B284:B285"/>
    <mergeCell ref="B185:B186"/>
    <mergeCell ref="B391:B392"/>
    <mergeCell ref="B403:B404"/>
    <mergeCell ref="B224:B225"/>
    <mergeCell ref="B359:B360"/>
    <mergeCell ref="B519:B520"/>
    <mergeCell ref="B444:B445"/>
    <mergeCell ref="B455:B456"/>
    <mergeCell ref="B427:B428"/>
  </mergeCells>
  <phoneticPr fontId="0" type="noConversion"/>
  <conditionalFormatting sqref="A1:XFD3 B4:XFD4 A314:XFD316 B308:XFD313 B317:XFD325 A5:XFD307 A326:XFD1048576">
    <cfRule type="expression" dxfId="29" priority="5" stopIfTrue="1">
      <formula>CELL("protect",A1)=0</formula>
    </cfRule>
  </conditionalFormatting>
  <conditionalFormatting sqref="A4">
    <cfRule type="expression" dxfId="28" priority="4" stopIfTrue="1">
      <formula>CELL("protect",A4)=0</formula>
    </cfRule>
  </conditionalFormatting>
  <conditionalFormatting sqref="A317:A325">
    <cfRule type="expression" dxfId="27" priority="1" stopIfTrue="1">
      <formula>CELL("protect",A317)=0</formula>
    </cfRule>
  </conditionalFormatting>
  <conditionalFormatting sqref="A310:A313">
    <cfRule type="expression" dxfId="26" priority="3" stopIfTrue="1">
      <formula>CELL("protect",A310)=0</formula>
    </cfRule>
  </conditionalFormatting>
  <conditionalFormatting sqref="A308:A309">
    <cfRule type="expression" dxfId="25" priority="2" stopIfTrue="1">
      <formula>CELL("protect",A308)=0</formula>
    </cfRule>
  </conditionalFormatting>
  <dataValidations count="10">
    <dataValidation type="decimal" allowBlank="1" showInputMessage="1" showErrorMessage="1" errorTitle=" numeric values only" error="Please input numeric values only" sqref="F265:F267 D265:D267 J147:J149 H147:H149 B160:J183 F230:F237 H230:H237 F147:F149 J230:J237 F71:F73 D151:D159 J227:J228 H71:H73 F239:F262 B112:B118 B138:B140 D138:D140 F138:F140 H138:H140 J138:J140 B132:B133 D132:D133 F132:F133 H132:H133 J132:J133 J129:J130 H129:H130 F129:F130 D129:D130 B129:B130 B126:B127 D126:D127 F126:F127 H126:H127 J126:J127 F121:F124 D121:D124 B121:B124 D115:D118 F115:F118 H116:H118 J116:J118 F113 D113 J113 H113 B147:B159 D150:J150 F151:F159 H151:H159 J151:J159 D198:D199 J198:J199 H198:H199 F198:F199 F209:F220 D188:D189 D70:D73 D192:D193 D195:D196 F195:F196 H195:H196 J195:J196 J286:J301 F192:F193 F188:F189 H188:H189 J188:J189 J209:J220 H209:H220 D209:D220 H202:H207 F202:F207 D202:D207 J202:J207 D230:D237 H227:H228 F227:F228 D227:D228 D147:D149 J354:J355 H354:H355 F354:F355 D354:D355 H286:H301 J70:J73 D286:D301 F286:F301 D273:D275 F273:F275 H273:H275 J273:J275 D278:D279 F278:F279 H278:H279 J278:J279 H265:H267 J265:J267 J239:J262 D239:D262 H239:H262 B70:B73 J386:J387 H386:H387 F386:F387 D386:D387 D308:D325 F308:F325 H308:H325 J308:J325 H327:H352 D327:D352 F327:F352 J327:J352">
      <formula1>-100000000000</formula1>
      <formula2>100000000000</formula2>
    </dataValidation>
    <dataValidation allowBlank="1" showInputMessage="1" showErrorMessage="1" errorTitle=" numeric values only" error="Please input numeric values only" sqref="A293 A202 A209"/>
    <dataValidation type="decimal" allowBlank="1" showInputMessage="1" showErrorMessage="1" errorTitle="Numeric values only" error="Please input numeric values only" sqref="F446:F453 H474:H475 H457:H471 J446:J453 J394:J395 H394:H395 H397:H399 F397:F399 F394:F395 D394:D395 D397:D399 J397:J399 D446:D453 H446:H453 D457:D475 F457:F475 J457:J475">
      <formula1>-100000000000</formula1>
      <formula2>100000000000</formula2>
    </dataValidation>
    <dataValidation allowBlank="1" showInputMessage="1" showErrorMessage="1" errorTitle="Numeric values only" error="Please input numeric values only" sqref="F454 H454 J396 H396 F396 D396 D454 J454 H472:H473 H540 J540"/>
    <dataValidation type="decimal" allowBlank="1" showInputMessage="1" showErrorMessage="1" errorTitle="Numeric Values only" error="Please input numeric values only" sqref="J429:J441 D429:D441 H429:H441 F429:F441 J382:J384 H382:H384 D382:D384 F382:F384 F405:F425 J405:J425 H405:H425 D405:D425">
      <formula1>-100000000000</formula1>
      <formula2>100000000000</formula2>
    </dataValidation>
    <dataValidation allowBlank="1" showInputMessage="1" showErrorMessage="1" errorTitle="Numeric Values only" error="Please input numeric values only" sqref="E429:E441 I429:I441 G429:G441 E382:E384 I382:I384 G382:G384 G405:G425 E405:E425 I405:I425"/>
    <dataValidation type="whole" allowBlank="1" showInputMessage="1" showErrorMessage="1" errorTitle=" numeric values only" error="Please input numeric values only" sqref="J493:J494 B48:B54 F48:F59 D61:D64 D509:D511 B61:B64 F61:F64 B46 B34 B36:B38 B40 B42:B44 H59 J59 H34 J34 H36:H38 J36:J38 J40 H40 H42:H44 J42:J44 D34 F34 D36:D38 F36:F38 F40 D40 D42:D44 F42:F44 D46 F46 D48:D59 D540:D541 D535:D538 J535:J538 H535:H538 F535:F538 J543:J545 D543:D545 F543:F545 F531:F533 H531:H533 J531:J533 F523:F525 F527:F529 H527:H529 J527:J529 D527:D529 D531:D533 D523:D525 H523:H525 J523:J525 J506:J507 L506:L507 F506:F507 F502:F504 H502:H504 J502:J504 L502:L504 L499:L500 J499:J500 H499:H500 F499:F500 L513:L515 J513:J515 H513:H515 F513:F515 H566 J566 H543:H545 H541 F509:F511 F540:F541 H493:H494 H483:H484 J483:J484 B477:B479 D493:D494 J488:J489 H488:H489 J477:J479 H477:H479 F477:F479 D477:D479 F488:F489 D488:D489 F493:F494 H506:H507 L509:L511 J509:J511 H509:H511 J541 D506:D507 D502:D504 D499:D500 D513:D515 B56:B59">
      <formula1>-100000000000</formula1>
      <formula2>100000000000</formula2>
    </dataValidation>
    <dataValidation type="decimal" allowBlank="1" showInputMessage="1" showErrorMessage="1" errorTitle="numeric values only" error="Please input numeric values only" sqref="I79:J111 H79:H99 H103:H111 B79:G111">
      <formula1>-100000000000</formula1>
      <formula2>100000000000</formula2>
    </dataValidation>
    <dataValidation type="decimal" allowBlank="1" showInputMessage="1" showErrorMessage="1" sqref="J28 B28 H28 F28 D28">
      <formula1>0</formula1>
      <formula2>1000000000000</formula2>
    </dataValidation>
    <dataValidation allowBlank="1" showInputMessage="1" showErrorMessage="1" errorTitle="numeric values only" error="Please input numeric values only" sqref="H100:H102"/>
  </dataValidations>
  <hyperlinks>
    <hyperlink ref="A7" location="'CB20'!A69" display="11  LIQUID FUNDS"/>
    <hyperlink ref="A8" location="'CB20'!A78" display="13  INVESTMENTS (net)"/>
    <hyperlink ref="A9" location="'CB20'!A145" display="14  NET LOANS"/>
    <hyperlink ref="A10" location="'CB20'!A186" display="16  EQUITY IN SUBSIDIARIES &amp; AFFILIATES"/>
    <hyperlink ref="A11" location="'CB20'!A225" display="17  ACCOUNTS RECEIVABLE"/>
    <hyperlink ref="A12" location="'CB20'!A272" display="18  FIXED ASSETS"/>
    <hyperlink ref="A13" location="'CB20'!A285" display="19  PREPAID EXPENSES &amp; OTHER ASSETS"/>
    <hyperlink ref="A19" location="'CB20'!A306" display="210  INSURANCE POLICY LIABILITIES"/>
    <hyperlink ref="A20" location="'CB20'!A360" display="211  INVESTMENT POLICY LIABILITIES"/>
    <hyperlink ref="A22" location="'CB20'!A392" display="24  BORROWINGS"/>
    <hyperlink ref="A23" location="'CB20'!A404" display="213  OTHER CURRENT LIABILITIES"/>
    <hyperlink ref="A24" location="'CB20'!A428" display="27  LONG-TERM LIABILITIES"/>
    <hyperlink ref="A78" location="'CB20'!A8" display="13.  INVESTMENTS"/>
    <hyperlink ref="A145" location="'CB20'!A9" display=" 14.  NET LOANS"/>
    <hyperlink ref="A186" location="'CB20'!A10" display=" 16. EQUITY IN SUBSIDIARIES AND AFFILIATES"/>
    <hyperlink ref="A225" location="'CB20'!A11" display=" 17.  ACCOUNTS RECEIVABLES (NET)"/>
    <hyperlink ref="A272" location="'CB20'!A12" display=" 18.  FIXED ASSETS (NET)"/>
    <hyperlink ref="A285" location="'CB20'!A13" display=" 19.  PREPAID EXPENSES &amp; OTHER ASSETS"/>
    <hyperlink ref="A306" location="'CB20'!A19" display="210. INSURANCE POLICY LIABILITIES"/>
    <hyperlink ref="A360" location="'CB20'!A20" display="211. INVESTMENT POLICY LIABILITIES"/>
    <hyperlink ref="A392" location="'CB20'!A22" display="24. BORROWINGS (UP TO 1 YEAR)"/>
    <hyperlink ref="A404" location="'CB20'!A23" display="213. OTHER CURRENT LIABILITIES"/>
    <hyperlink ref="A428" location="'CB20'!A24" display="27. LONG TERM LIABILITIES"/>
    <hyperlink ref="A376" location="'CB20'!A21" display="212. OTHER ACTUARIAL LIABILITIES"/>
    <hyperlink ref="A21" location="'CB20'!A376" display="212 OTHER ACTUARIAL LIABILITIES"/>
    <hyperlink ref="A69" location="'CB20'!A7" display="11.  LIQUID FUNDS"/>
  </hyperlinks>
  <pageMargins left="0.25" right="0.25" top="0.63" bottom="0.59" header="0.32" footer="0.37"/>
  <pageSetup paperSize="9" scale="65" fitToHeight="10" orientation="portrait" r:id="rId1"/>
  <headerFooter alignWithMargins="0">
    <oddHeader>&amp;L&amp;F&amp;RCB20 INSURANCE 
BALANCE SHEET</oddHeader>
    <oddFooter>&amp;L&amp;D&amp;R&amp;P of &amp;N</oddFooter>
  </headerFooter>
  <rowBreaks count="7" manualBreakCount="7">
    <brk id="66" max="9" man="1"/>
    <brk id="142" max="9" man="1"/>
    <brk id="221" max="9" man="1"/>
    <brk id="304" max="9" man="1"/>
    <brk id="356" max="9" man="1"/>
    <brk id="452" max="9" man="1"/>
    <brk id="51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77"/>
  <sheetViews>
    <sheetView tabSelected="1" zoomScaleNormal="100" zoomScaleSheetLayoutView="100" workbookViewId="0">
      <selection activeCell="A5" sqref="A5"/>
    </sheetView>
  </sheetViews>
  <sheetFormatPr defaultColWidth="9.140625" defaultRowHeight="12" zeroHeight="1"/>
  <cols>
    <col min="1" max="1" width="50.85546875" style="6" customWidth="1"/>
    <col min="2" max="2" width="18.42578125" style="1" customWidth="1"/>
    <col min="3" max="3" width="14.85546875" style="1" customWidth="1"/>
    <col min="4" max="4" width="1.7109375" style="2" customWidth="1"/>
    <col min="5" max="5" width="14.140625" style="1" customWidth="1"/>
    <col min="6" max="6" width="1.7109375" style="2" customWidth="1"/>
    <col min="7" max="7" width="14.42578125" style="1" bestFit="1" customWidth="1"/>
    <col min="8" max="8" width="1.7109375" style="1" customWidth="1"/>
    <col min="9" max="16384" width="9.140625" style="1"/>
  </cols>
  <sheetData>
    <row r="1" spans="1:8" ht="12.75">
      <c r="A1" s="680" t="str">
        <f>[0]!Name</f>
        <v xml:space="preserve"> SELECT INSURANCE COMPANY</v>
      </c>
      <c r="B1" s="681"/>
      <c r="E1" s="3"/>
      <c r="G1" s="682"/>
    </row>
    <row r="2" spans="1:8" ht="12.75">
      <c r="A2" s="4" t="s">
        <v>716</v>
      </c>
      <c r="B2" s="11"/>
      <c r="C2" s="437"/>
      <c r="D2" s="11"/>
      <c r="E2" s="11"/>
      <c r="F2" s="11"/>
      <c r="G2" s="11"/>
    </row>
    <row r="3" spans="1:8" ht="12.75">
      <c r="A3" s="536">
        <v>43921</v>
      </c>
      <c r="C3" s="684"/>
    </row>
    <row r="4" spans="1:8">
      <c r="A4" s="5" t="s">
        <v>1245</v>
      </c>
      <c r="B4" s="683"/>
      <c r="C4" s="683"/>
      <c r="D4" s="7"/>
    </row>
    <row r="5" spans="1:8">
      <c r="A5" s="8"/>
      <c r="B5" s="8"/>
      <c r="C5" s="9"/>
      <c r="D5" s="7"/>
    </row>
    <row r="6" spans="1:8" ht="24">
      <c r="A6" s="10" t="s">
        <v>717</v>
      </c>
      <c r="B6" s="11"/>
      <c r="C6" s="12" t="s">
        <v>718</v>
      </c>
      <c r="D6" s="7"/>
      <c r="E6" s="12" t="s">
        <v>719</v>
      </c>
      <c r="F6" s="13"/>
      <c r="G6" s="12" t="s">
        <v>720</v>
      </c>
    </row>
    <row r="7" spans="1:8">
      <c r="A7" s="18" t="s">
        <v>721</v>
      </c>
      <c r="B7" s="15"/>
      <c r="C7" s="16">
        <f t="shared" ref="C7:C17" si="0">E7+G7</f>
        <v>0</v>
      </c>
      <c r="D7" s="7"/>
      <c r="E7" s="16">
        <f>E75</f>
        <v>0</v>
      </c>
      <c r="G7" s="16">
        <f>G75</f>
        <v>0</v>
      </c>
      <c r="H7" s="17"/>
    </row>
    <row r="8" spans="1:8">
      <c r="A8" s="18" t="s">
        <v>722</v>
      </c>
      <c r="B8" s="15"/>
      <c r="C8" s="16">
        <f t="shared" si="0"/>
        <v>0</v>
      </c>
      <c r="D8" s="7"/>
      <c r="E8" s="16">
        <f>E92</f>
        <v>0</v>
      </c>
      <c r="G8" s="16">
        <f>G92</f>
        <v>0</v>
      </c>
      <c r="H8" s="17"/>
    </row>
    <row r="9" spans="1:8">
      <c r="A9" s="18" t="s">
        <v>723</v>
      </c>
      <c r="B9" s="15"/>
      <c r="C9" s="16">
        <f t="shared" si="0"/>
        <v>0</v>
      </c>
      <c r="D9" s="7"/>
      <c r="E9" s="669"/>
      <c r="G9" s="669"/>
      <c r="H9" s="17"/>
    </row>
    <row r="10" spans="1:8">
      <c r="A10" s="18" t="s">
        <v>724</v>
      </c>
      <c r="B10" s="15"/>
      <c r="C10" s="16">
        <f t="shared" si="0"/>
        <v>0</v>
      </c>
      <c r="D10" s="7"/>
      <c r="E10" s="669"/>
      <c r="G10" s="669"/>
      <c r="H10" s="17"/>
    </row>
    <row r="11" spans="1:8">
      <c r="A11" s="18" t="s">
        <v>725</v>
      </c>
      <c r="B11" s="15"/>
      <c r="C11" s="16">
        <f t="shared" si="0"/>
        <v>0</v>
      </c>
      <c r="D11" s="7"/>
      <c r="E11" s="669"/>
      <c r="G11" s="669"/>
      <c r="H11" s="17"/>
    </row>
    <row r="12" spans="1:8">
      <c r="A12" s="18" t="s">
        <v>726</v>
      </c>
      <c r="B12" s="15"/>
      <c r="C12" s="16">
        <f t="shared" si="0"/>
        <v>0</v>
      </c>
      <c r="D12" s="7"/>
      <c r="E12" s="669"/>
      <c r="G12" s="669"/>
      <c r="H12" s="17"/>
    </row>
    <row r="13" spans="1:8">
      <c r="A13" s="18" t="s">
        <v>727</v>
      </c>
      <c r="B13" s="19"/>
      <c r="C13" s="16">
        <f>E13+G13</f>
        <v>0</v>
      </c>
      <c r="E13" s="27">
        <f>E114</f>
        <v>0</v>
      </c>
      <c r="G13" s="27">
        <f>G114</f>
        <v>0</v>
      </c>
      <c r="H13" s="17"/>
    </row>
    <row r="14" spans="1:8">
      <c r="A14" s="18" t="s">
        <v>925</v>
      </c>
      <c r="B14" s="15"/>
      <c r="C14" s="16">
        <f t="shared" si="0"/>
        <v>0</v>
      </c>
      <c r="D14" s="7"/>
      <c r="E14" s="16">
        <f>E148+E180</f>
        <v>0</v>
      </c>
      <c r="G14" s="16">
        <f>G148+G180</f>
        <v>0</v>
      </c>
      <c r="H14" s="17"/>
    </row>
    <row r="15" spans="1:8">
      <c r="A15" s="18" t="s">
        <v>937</v>
      </c>
      <c r="B15" s="19"/>
      <c r="C15" s="16">
        <f t="shared" si="0"/>
        <v>0</v>
      </c>
      <c r="D15" s="13"/>
      <c r="E15" s="16">
        <f>E213</f>
        <v>0</v>
      </c>
      <c r="G15" s="16">
        <f>G213</f>
        <v>0</v>
      </c>
      <c r="H15" s="17"/>
    </row>
    <row r="16" spans="1:8">
      <c r="A16" s="18" t="s">
        <v>943</v>
      </c>
      <c r="B16" s="15"/>
      <c r="C16" s="20">
        <f t="shared" si="0"/>
        <v>0</v>
      </c>
      <c r="D16" s="7"/>
      <c r="E16" s="20">
        <f>E246</f>
        <v>0</v>
      </c>
      <c r="G16" s="20">
        <f>G246</f>
        <v>0</v>
      </c>
      <c r="H16" s="17"/>
    </row>
    <row r="17" spans="1:8" ht="12.75" thickBot="1">
      <c r="A17" s="21" t="s">
        <v>728</v>
      </c>
      <c r="B17" s="22"/>
      <c r="C17" s="23">
        <f t="shared" si="0"/>
        <v>0</v>
      </c>
      <c r="D17" s="7"/>
      <c r="E17" s="23">
        <f>SUM(E7:E16)</f>
        <v>0</v>
      </c>
      <c r="G17" s="23">
        <f>SUM(G7:G16)</f>
        <v>0</v>
      </c>
      <c r="H17" s="17"/>
    </row>
    <row r="18" spans="1:8" ht="13.5" thickTop="1">
      <c r="A18" s="24"/>
      <c r="B18" s="24"/>
      <c r="C18" s="24"/>
      <c r="D18" s="7"/>
      <c r="H18" s="17"/>
    </row>
    <row r="19" spans="1:8" ht="12.75">
      <c r="A19" s="24"/>
      <c r="B19" s="24"/>
      <c r="C19" s="24"/>
      <c r="D19" s="7"/>
      <c r="H19" s="17"/>
    </row>
    <row r="20" spans="1:8" ht="24">
      <c r="A20" s="10" t="s">
        <v>729</v>
      </c>
      <c r="B20" s="25"/>
      <c r="C20" s="12" t="s">
        <v>718</v>
      </c>
      <c r="D20" s="7"/>
      <c r="E20" s="12" t="s">
        <v>719</v>
      </c>
      <c r="F20" s="13"/>
      <c r="G20" s="12" t="s">
        <v>720</v>
      </c>
      <c r="H20" s="17"/>
    </row>
    <row r="21" spans="1:8">
      <c r="A21" s="18" t="s">
        <v>730</v>
      </c>
      <c r="B21" s="15"/>
      <c r="C21" s="16">
        <f t="shared" ref="C21:C34" si="1">E21+G21</f>
        <v>0</v>
      </c>
      <c r="D21" s="7"/>
      <c r="E21" s="26">
        <f>E260</f>
        <v>0</v>
      </c>
      <c r="G21" s="26">
        <f>G260</f>
        <v>0</v>
      </c>
      <c r="H21" s="17"/>
    </row>
    <row r="22" spans="1:8">
      <c r="A22" s="18" t="s">
        <v>731</v>
      </c>
      <c r="B22" s="15"/>
      <c r="C22" s="16">
        <f t="shared" si="1"/>
        <v>0</v>
      </c>
      <c r="D22" s="7"/>
      <c r="E22" s="669"/>
      <c r="G22" s="669"/>
      <c r="H22" s="17"/>
    </row>
    <row r="23" spans="1:8">
      <c r="A23" s="18" t="s">
        <v>732</v>
      </c>
      <c r="B23" s="15"/>
      <c r="C23" s="16">
        <f t="shared" si="1"/>
        <v>0</v>
      </c>
      <c r="D23" s="7"/>
      <c r="E23" s="669"/>
      <c r="G23" s="669"/>
      <c r="H23" s="17"/>
    </row>
    <row r="24" spans="1:8">
      <c r="A24" s="18" t="s">
        <v>733</v>
      </c>
      <c r="B24" s="15"/>
      <c r="C24" s="16">
        <f t="shared" si="1"/>
        <v>0</v>
      </c>
      <c r="D24" s="7"/>
      <c r="E24" s="669"/>
      <c r="G24" s="669"/>
      <c r="H24" s="17"/>
    </row>
    <row r="25" spans="1:8">
      <c r="A25" s="18" t="s">
        <v>734</v>
      </c>
      <c r="B25" s="15"/>
      <c r="C25" s="16">
        <f t="shared" si="1"/>
        <v>0</v>
      </c>
      <c r="D25" s="7"/>
      <c r="E25" s="669"/>
      <c r="G25" s="669"/>
      <c r="H25" s="17"/>
    </row>
    <row r="26" spans="1:8">
      <c r="A26" s="18" t="s">
        <v>735</v>
      </c>
      <c r="B26" s="15"/>
      <c r="C26" s="16">
        <f t="shared" si="1"/>
        <v>0</v>
      </c>
      <c r="D26" s="7"/>
      <c r="E26" s="27">
        <f>E273</f>
        <v>0</v>
      </c>
      <c r="G26" s="27">
        <f>G273</f>
        <v>0</v>
      </c>
      <c r="H26" s="17"/>
    </row>
    <row r="27" spans="1:8">
      <c r="A27" s="18" t="s">
        <v>736</v>
      </c>
      <c r="B27" s="15"/>
      <c r="C27" s="16">
        <f t="shared" si="1"/>
        <v>0</v>
      </c>
      <c r="D27" s="7"/>
      <c r="E27" s="669"/>
      <c r="G27" s="669"/>
      <c r="H27" s="17"/>
    </row>
    <row r="28" spans="1:8">
      <c r="A28" s="18" t="s">
        <v>737</v>
      </c>
      <c r="B28" s="19"/>
      <c r="C28" s="16">
        <f t="shared" si="1"/>
        <v>0</v>
      </c>
      <c r="D28" s="7"/>
      <c r="E28" s="27">
        <f>E299</f>
        <v>0</v>
      </c>
      <c r="G28" s="27">
        <f>G299</f>
        <v>0</v>
      </c>
      <c r="H28" s="17"/>
    </row>
    <row r="29" spans="1:8">
      <c r="A29" s="18" t="s">
        <v>1021</v>
      </c>
      <c r="B29" s="28"/>
      <c r="C29" s="16">
        <f t="shared" si="1"/>
        <v>0</v>
      </c>
      <c r="D29" s="7"/>
      <c r="E29" s="27">
        <f>E331</f>
        <v>0</v>
      </c>
      <c r="G29" s="27">
        <f>G331</f>
        <v>0</v>
      </c>
      <c r="H29" s="17"/>
    </row>
    <row r="30" spans="1:8">
      <c r="A30" s="18" t="s">
        <v>738</v>
      </c>
      <c r="B30" s="28"/>
      <c r="C30" s="16">
        <f t="shared" si="1"/>
        <v>0</v>
      </c>
      <c r="D30" s="7"/>
      <c r="E30" s="27">
        <f>E352</f>
        <v>0</v>
      </c>
      <c r="G30" s="27">
        <f>G352</f>
        <v>0</v>
      </c>
      <c r="H30" s="17"/>
    </row>
    <row r="31" spans="1:8">
      <c r="A31" s="18" t="s">
        <v>739</v>
      </c>
      <c r="B31" s="15"/>
      <c r="C31" s="16">
        <f t="shared" si="1"/>
        <v>0</v>
      </c>
      <c r="D31" s="7"/>
      <c r="E31" s="27">
        <f>E361</f>
        <v>0</v>
      </c>
      <c r="G31" s="27">
        <f>G361</f>
        <v>0</v>
      </c>
      <c r="H31" s="17"/>
    </row>
    <row r="32" spans="1:8">
      <c r="A32" s="18" t="s">
        <v>1040</v>
      </c>
      <c r="B32" s="28"/>
      <c r="C32" s="16">
        <f t="shared" si="1"/>
        <v>0</v>
      </c>
      <c r="D32" s="7"/>
      <c r="E32" s="27">
        <f>E393</f>
        <v>0</v>
      </c>
      <c r="G32" s="27">
        <f>G393</f>
        <v>0</v>
      </c>
      <c r="H32" s="17"/>
    </row>
    <row r="33" spans="1:8">
      <c r="A33" s="18" t="s">
        <v>1044</v>
      </c>
      <c r="B33" s="19"/>
      <c r="C33" s="16">
        <f>E33+G33</f>
        <v>0</v>
      </c>
      <c r="D33" s="7"/>
      <c r="E33" s="27">
        <f>E424</f>
        <v>0</v>
      </c>
      <c r="G33" s="27">
        <f>G424</f>
        <v>0</v>
      </c>
      <c r="H33" s="17"/>
    </row>
    <row r="34" spans="1:8">
      <c r="A34" s="18" t="s">
        <v>1050</v>
      </c>
      <c r="B34" s="19"/>
      <c r="C34" s="16">
        <f t="shared" si="1"/>
        <v>0</v>
      </c>
      <c r="D34" s="7"/>
      <c r="E34" s="27">
        <f>E456</f>
        <v>0</v>
      </c>
      <c r="G34" s="27">
        <f>G456</f>
        <v>0</v>
      </c>
      <c r="H34" s="17"/>
    </row>
    <row r="35" spans="1:8">
      <c r="A35" s="14"/>
      <c r="B35" s="19"/>
      <c r="C35" s="29"/>
      <c r="D35" s="7"/>
      <c r="E35" s="29"/>
      <c r="G35" s="29"/>
      <c r="H35" s="17"/>
    </row>
    <row r="36" spans="1:8" ht="17.25" customHeight="1" thickBot="1">
      <c r="A36" s="30" t="s">
        <v>740</v>
      </c>
      <c r="B36" s="31"/>
      <c r="C36" s="16">
        <f>E36+G36</f>
        <v>0</v>
      </c>
      <c r="D36" s="7"/>
      <c r="E36" s="16">
        <f>SUM(E21:E34)</f>
        <v>0</v>
      </c>
      <c r="G36" s="16">
        <f>SUM(G21:G34)</f>
        <v>0</v>
      </c>
      <c r="H36" s="17"/>
    </row>
    <row r="37" spans="1:8" ht="13.5" thickTop="1">
      <c r="A37" s="11"/>
      <c r="B37" s="11"/>
      <c r="C37" s="32"/>
      <c r="D37" s="7"/>
      <c r="E37" s="33"/>
      <c r="G37" s="33"/>
      <c r="H37" s="17"/>
    </row>
    <row r="38" spans="1:8">
      <c r="A38" s="34" t="s">
        <v>741</v>
      </c>
      <c r="B38" s="35"/>
      <c r="C38" s="16">
        <f>E38+G38</f>
        <v>0</v>
      </c>
      <c r="D38" s="7"/>
      <c r="E38" s="16">
        <f>E17-E36</f>
        <v>0</v>
      </c>
      <c r="G38" s="16">
        <f>G17-G36</f>
        <v>0</v>
      </c>
      <c r="H38" s="17"/>
    </row>
    <row r="39" spans="1:8">
      <c r="A39" s="18" t="s">
        <v>742</v>
      </c>
      <c r="B39" s="15"/>
      <c r="C39" s="16">
        <f t="shared" ref="C39:C46" si="2">E39+G39</f>
        <v>0</v>
      </c>
      <c r="E39" s="669"/>
      <c r="G39" s="669"/>
      <c r="H39" s="17"/>
    </row>
    <row r="40" spans="1:8" s="3" customFormat="1">
      <c r="A40" s="36" t="s">
        <v>743</v>
      </c>
      <c r="B40" s="37"/>
      <c r="C40" s="16">
        <f>E40+G40</f>
        <v>0</v>
      </c>
      <c r="D40" s="2"/>
      <c r="E40" s="27">
        <f>E38+E39</f>
        <v>0</v>
      </c>
      <c r="F40" s="2"/>
      <c r="G40" s="27">
        <f>G38+G39</f>
        <v>0</v>
      </c>
      <c r="H40" s="17"/>
    </row>
    <row r="41" spans="1:8">
      <c r="A41" s="18" t="s">
        <v>744</v>
      </c>
      <c r="B41" s="15"/>
      <c r="C41" s="16">
        <f t="shared" si="2"/>
        <v>0</v>
      </c>
      <c r="D41" s="13"/>
      <c r="E41" s="669"/>
      <c r="G41" s="669"/>
      <c r="H41" s="17"/>
    </row>
    <row r="42" spans="1:8">
      <c r="A42" s="18" t="s">
        <v>745</v>
      </c>
      <c r="B42" s="15"/>
      <c r="C42" s="16">
        <f t="shared" si="2"/>
        <v>0</v>
      </c>
      <c r="D42" s="38"/>
      <c r="E42" s="669"/>
      <c r="G42" s="669"/>
      <c r="H42" s="17"/>
    </row>
    <row r="43" spans="1:8">
      <c r="A43" s="36" t="s">
        <v>746</v>
      </c>
      <c r="B43" s="37"/>
      <c r="C43" s="16">
        <f>E43+G43</f>
        <v>0</v>
      </c>
      <c r="D43" s="7"/>
      <c r="E43" s="27">
        <f>E40+E41-E42</f>
        <v>0</v>
      </c>
      <c r="G43" s="27">
        <f>G40+G41-G42</f>
        <v>0</v>
      </c>
      <c r="H43" s="17"/>
    </row>
    <row r="44" spans="1:8" ht="12.75" customHeight="1">
      <c r="A44" s="18" t="s">
        <v>747</v>
      </c>
      <c r="B44" s="15"/>
      <c r="C44" s="16">
        <f t="shared" si="2"/>
        <v>0</v>
      </c>
      <c r="D44" s="7"/>
      <c r="E44" s="669"/>
      <c r="G44" s="669"/>
      <c r="H44" s="17"/>
    </row>
    <row r="45" spans="1:8">
      <c r="A45" s="36" t="s">
        <v>748</v>
      </c>
      <c r="B45" s="37"/>
      <c r="C45" s="16">
        <f>E45+G45</f>
        <v>0</v>
      </c>
      <c r="D45" s="7"/>
      <c r="E45" s="27">
        <f>E43-E44</f>
        <v>0</v>
      </c>
      <c r="G45" s="27">
        <f>G43-G44</f>
        <v>0</v>
      </c>
      <c r="H45" s="17"/>
    </row>
    <row r="46" spans="1:8">
      <c r="A46" s="14" t="s">
        <v>749</v>
      </c>
      <c r="B46" s="19"/>
      <c r="C46" s="16">
        <f t="shared" si="2"/>
        <v>0</v>
      </c>
      <c r="D46" s="7"/>
      <c r="E46" s="669"/>
      <c r="G46" s="669"/>
      <c r="H46" s="17"/>
    </row>
    <row r="47" spans="1:8" ht="12" customHeight="1">
      <c r="A47" s="21" t="s">
        <v>750</v>
      </c>
      <c r="B47" s="22"/>
      <c r="C47" s="39">
        <f>E47+G47</f>
        <v>0</v>
      </c>
      <c r="D47" s="7"/>
      <c r="E47" s="27">
        <f>E45+E46</f>
        <v>0</v>
      </c>
      <c r="G47" s="27">
        <f>G45+G46</f>
        <v>0</v>
      </c>
      <c r="H47" s="17"/>
    </row>
    <row r="48" spans="1:8" ht="12" customHeight="1">
      <c r="A48" s="40" t="s">
        <v>751</v>
      </c>
      <c r="B48" s="35"/>
      <c r="C48" s="62"/>
      <c r="D48" s="7"/>
      <c r="E48" s="670"/>
      <c r="G48" s="670"/>
      <c r="H48" s="17"/>
    </row>
    <row r="49" spans="1:8" ht="12" customHeight="1">
      <c r="A49" s="41" t="s">
        <v>752</v>
      </c>
      <c r="B49" s="42"/>
      <c r="C49" s="27">
        <f>E49+G49</f>
        <v>0</v>
      </c>
      <c r="D49" s="7"/>
      <c r="E49" s="669"/>
      <c r="G49" s="669"/>
      <c r="H49" s="17"/>
    </row>
    <row r="50" spans="1:8">
      <c r="A50" s="43" t="s">
        <v>753</v>
      </c>
      <c r="B50" s="44"/>
      <c r="C50" s="27">
        <f>E50+G50</f>
        <v>0</v>
      </c>
      <c r="D50" s="7"/>
      <c r="E50" s="669"/>
      <c r="G50" s="669"/>
      <c r="H50" s="17"/>
    </row>
    <row r="51" spans="1:8">
      <c r="A51" s="22" t="s">
        <v>754</v>
      </c>
      <c r="B51" s="22"/>
      <c r="C51" s="27">
        <f>E51+G51</f>
        <v>0</v>
      </c>
      <c r="D51" s="7"/>
      <c r="E51" s="27">
        <f>E49+E50</f>
        <v>0</v>
      </c>
      <c r="G51" s="27">
        <f>G49+G50</f>
        <v>0</v>
      </c>
      <c r="H51" s="17"/>
    </row>
    <row r="52" spans="1:8" ht="12.75">
      <c r="A52" s="22"/>
      <c r="B52" s="22"/>
      <c r="C52" s="45"/>
      <c r="D52" s="7"/>
      <c r="E52" s="45"/>
      <c r="G52" s="45"/>
      <c r="H52" s="17"/>
    </row>
    <row r="53" spans="1:8">
      <c r="A53" s="40"/>
      <c r="C53" s="7"/>
      <c r="D53" s="7"/>
      <c r="E53" s="7"/>
      <c r="F53" s="7"/>
      <c r="G53" s="7"/>
      <c r="H53" s="17"/>
    </row>
    <row r="54" spans="1:8" ht="12.75" customHeight="1">
      <c r="A54" s="40" t="s">
        <v>755</v>
      </c>
      <c r="C54" s="2"/>
      <c r="E54" s="2"/>
      <c r="G54" s="2"/>
      <c r="H54" s="17"/>
    </row>
    <row r="55" spans="1:8" ht="12.75">
      <c r="A55" s="40"/>
      <c r="B55" s="19"/>
      <c r="C55" s="46"/>
      <c r="D55" s="7"/>
      <c r="E55" s="46"/>
      <c r="G55" s="46"/>
    </row>
    <row r="56" spans="1:8" ht="12.75">
      <c r="A56" s="47"/>
      <c r="D56" s="7"/>
      <c r="G56" s="48"/>
    </row>
    <row r="57" spans="1:8">
      <c r="A57" s="10" t="s">
        <v>756</v>
      </c>
      <c r="B57" s="2"/>
      <c r="C57" s="2"/>
      <c r="E57" s="2"/>
      <c r="G57" s="2"/>
    </row>
    <row r="58" spans="1:8" ht="24">
      <c r="A58" s="49"/>
      <c r="C58" s="12" t="s">
        <v>718</v>
      </c>
      <c r="D58" s="13"/>
      <c r="E58" s="12" t="s">
        <v>719</v>
      </c>
      <c r="F58" s="50"/>
      <c r="G58" s="12" t="s">
        <v>720</v>
      </c>
    </row>
    <row r="59" spans="1:8">
      <c r="A59" s="51" t="s">
        <v>757</v>
      </c>
      <c r="C59" s="38">
        <f t="shared" ref="C59:C73" si="3">E59+G59</f>
        <v>0</v>
      </c>
      <c r="D59" s="7"/>
      <c r="E59" s="38">
        <f>E60+E61</f>
        <v>0</v>
      </c>
      <c r="F59" s="7"/>
      <c r="G59" s="38">
        <f>G60+G61</f>
        <v>0</v>
      </c>
    </row>
    <row r="60" spans="1:8">
      <c r="A60" s="52" t="s">
        <v>758</v>
      </c>
      <c r="C60" s="27">
        <f t="shared" si="3"/>
        <v>0</v>
      </c>
      <c r="D60" s="7"/>
      <c r="E60" s="669"/>
      <c r="F60" s="7"/>
      <c r="G60" s="669"/>
    </row>
    <row r="61" spans="1:8">
      <c r="A61" s="52" t="s">
        <v>759</v>
      </c>
      <c r="C61" s="27">
        <f t="shared" si="3"/>
        <v>0</v>
      </c>
      <c r="D61" s="7"/>
      <c r="E61" s="671"/>
      <c r="F61" s="7"/>
      <c r="G61" s="671"/>
    </row>
    <row r="62" spans="1:8">
      <c r="A62" s="51" t="s">
        <v>760</v>
      </c>
      <c r="C62" s="27">
        <f t="shared" si="3"/>
        <v>0</v>
      </c>
      <c r="D62" s="7"/>
      <c r="E62" s="26">
        <f>E63+E64</f>
        <v>0</v>
      </c>
      <c r="F62" s="7"/>
      <c r="G62" s="26">
        <f>G63+G64</f>
        <v>0</v>
      </c>
    </row>
    <row r="63" spans="1:8">
      <c r="A63" s="52" t="s">
        <v>761</v>
      </c>
      <c r="C63" s="27">
        <f t="shared" si="3"/>
        <v>0</v>
      </c>
      <c r="D63" s="7"/>
      <c r="E63" s="669"/>
      <c r="F63" s="7"/>
      <c r="G63" s="669"/>
    </row>
    <row r="64" spans="1:8">
      <c r="A64" s="52" t="s">
        <v>762</v>
      </c>
      <c r="C64" s="27">
        <f t="shared" si="3"/>
        <v>0</v>
      </c>
      <c r="D64" s="7"/>
      <c r="E64" s="671"/>
      <c r="F64" s="7"/>
      <c r="G64" s="671"/>
    </row>
    <row r="65" spans="1:7">
      <c r="A65" s="51" t="s">
        <v>763</v>
      </c>
      <c r="C65" s="27">
        <f t="shared" si="3"/>
        <v>0</v>
      </c>
      <c r="D65" s="7"/>
      <c r="E65" s="26">
        <f>E66+E69</f>
        <v>0</v>
      </c>
      <c r="F65" s="7"/>
      <c r="G65" s="26">
        <f>G66+G69</f>
        <v>0</v>
      </c>
    </row>
    <row r="66" spans="1:7">
      <c r="A66" s="52" t="s">
        <v>764</v>
      </c>
      <c r="C66" s="27">
        <f t="shared" si="3"/>
        <v>0</v>
      </c>
      <c r="D66" s="7"/>
      <c r="E66" s="26">
        <f>E67+E68</f>
        <v>0</v>
      </c>
      <c r="F66" s="7"/>
      <c r="G66" s="26">
        <f>G67+G68</f>
        <v>0</v>
      </c>
    </row>
    <row r="67" spans="1:7">
      <c r="A67" s="52" t="s">
        <v>765</v>
      </c>
      <c r="C67" s="27">
        <f t="shared" si="3"/>
        <v>0</v>
      </c>
      <c r="D67" s="7"/>
      <c r="E67" s="669"/>
      <c r="F67" s="7"/>
      <c r="G67" s="669"/>
    </row>
    <row r="68" spans="1:7">
      <c r="A68" s="53" t="s">
        <v>766</v>
      </c>
      <c r="C68" s="27">
        <f t="shared" si="3"/>
        <v>0</v>
      </c>
      <c r="D68" s="7"/>
      <c r="E68" s="671"/>
      <c r="F68" s="7"/>
      <c r="G68" s="671"/>
    </row>
    <row r="69" spans="1:7">
      <c r="A69" s="53" t="s">
        <v>767</v>
      </c>
      <c r="C69" s="27">
        <f t="shared" si="3"/>
        <v>0</v>
      </c>
      <c r="D69" s="7"/>
      <c r="E69" s="671"/>
      <c r="F69" s="7"/>
      <c r="G69" s="671"/>
    </row>
    <row r="70" spans="1:7">
      <c r="A70" s="51" t="s">
        <v>768</v>
      </c>
      <c r="C70" s="27">
        <f t="shared" si="3"/>
        <v>0</v>
      </c>
      <c r="D70" s="7"/>
      <c r="E70" s="26">
        <f>E71+E72+E73</f>
        <v>0</v>
      </c>
      <c r="F70" s="7"/>
      <c r="G70" s="26">
        <f>G71+G72+G73</f>
        <v>0</v>
      </c>
    </row>
    <row r="71" spans="1:7">
      <c r="A71" s="672"/>
      <c r="C71" s="27">
        <f t="shared" si="3"/>
        <v>0</v>
      </c>
      <c r="D71" s="7"/>
      <c r="E71" s="671"/>
      <c r="F71" s="7"/>
      <c r="G71" s="671"/>
    </row>
    <row r="72" spans="1:7">
      <c r="A72" s="673"/>
      <c r="C72" s="27">
        <f t="shared" si="3"/>
        <v>0</v>
      </c>
      <c r="D72" s="7"/>
      <c r="E72" s="671"/>
      <c r="F72" s="7"/>
      <c r="G72" s="671"/>
    </row>
    <row r="73" spans="1:7">
      <c r="A73" s="673"/>
      <c r="C73" s="27">
        <f t="shared" si="3"/>
        <v>0</v>
      </c>
      <c r="D73" s="7"/>
      <c r="E73" s="671"/>
      <c r="F73" s="7"/>
      <c r="G73" s="671"/>
    </row>
    <row r="74" spans="1:7">
      <c r="A74" s="52"/>
      <c r="C74" s="54"/>
      <c r="D74" s="7"/>
      <c r="E74" s="685"/>
      <c r="F74" s="74"/>
      <c r="G74" s="685"/>
    </row>
    <row r="75" spans="1:7" ht="12.75" thickBot="1">
      <c r="A75" s="55" t="s">
        <v>769</v>
      </c>
      <c r="C75" s="23">
        <f>E75+G75</f>
        <v>0</v>
      </c>
      <c r="D75" s="7"/>
      <c r="E75" s="23">
        <f>E59+E62+E65+E70</f>
        <v>0</v>
      </c>
      <c r="F75" s="7"/>
      <c r="G75" s="23">
        <f>G59+G62+G65+G70</f>
        <v>0</v>
      </c>
    </row>
    <row r="76" spans="1:7" ht="12.75" thickTop="1">
      <c r="D76" s="7"/>
    </row>
    <row r="77" spans="1:7">
      <c r="A77" s="56"/>
      <c r="B77" s="2"/>
      <c r="C77" s="2"/>
      <c r="D77" s="7"/>
      <c r="E77" s="2"/>
      <c r="G77" s="2"/>
    </row>
    <row r="78" spans="1:7">
      <c r="A78" s="10" t="s">
        <v>770</v>
      </c>
      <c r="B78" s="2"/>
      <c r="C78" s="2"/>
      <c r="D78" s="7"/>
      <c r="E78" s="2"/>
      <c r="G78" s="2"/>
    </row>
    <row r="79" spans="1:7" ht="24">
      <c r="A79" s="56"/>
      <c r="C79" s="12" t="s">
        <v>718</v>
      </c>
      <c r="D79" s="7"/>
      <c r="E79" s="12" t="s">
        <v>719</v>
      </c>
      <c r="F79" s="50"/>
      <c r="G79" s="12" t="s">
        <v>720</v>
      </c>
    </row>
    <row r="80" spans="1:7">
      <c r="A80" s="51" t="s">
        <v>771</v>
      </c>
      <c r="C80" s="26">
        <f t="shared" ref="C80:C90" si="4">E80+G80</f>
        <v>0</v>
      </c>
      <c r="D80" s="7"/>
      <c r="E80" s="671"/>
      <c r="F80" s="7"/>
      <c r="G80" s="671"/>
    </row>
    <row r="81" spans="1:8">
      <c r="A81" s="51" t="s">
        <v>772</v>
      </c>
      <c r="C81" s="26">
        <f t="shared" si="4"/>
        <v>0</v>
      </c>
      <c r="D81" s="7"/>
      <c r="E81" s="671"/>
      <c r="F81" s="7"/>
      <c r="G81" s="671"/>
    </row>
    <row r="82" spans="1:8">
      <c r="A82" s="51" t="s">
        <v>773</v>
      </c>
      <c r="C82" s="26">
        <f t="shared" si="4"/>
        <v>0</v>
      </c>
      <c r="D82" s="7"/>
      <c r="E82" s="671"/>
      <c r="F82" s="7"/>
      <c r="G82" s="671"/>
    </row>
    <row r="83" spans="1:8">
      <c r="A83" s="51" t="s">
        <v>774</v>
      </c>
      <c r="B83" s="57"/>
      <c r="C83" s="26">
        <f t="shared" si="4"/>
        <v>0</v>
      </c>
      <c r="D83" s="7"/>
      <c r="E83" s="671"/>
      <c r="F83" s="7"/>
      <c r="G83" s="671"/>
    </row>
    <row r="84" spans="1:8">
      <c r="A84" s="51" t="s">
        <v>775</v>
      </c>
      <c r="B84" s="57"/>
      <c r="C84" s="26">
        <f t="shared" si="4"/>
        <v>0</v>
      </c>
      <c r="D84" s="7"/>
      <c r="E84" s="671"/>
      <c r="F84" s="7"/>
      <c r="G84" s="671"/>
    </row>
    <row r="85" spans="1:8">
      <c r="A85" s="51" t="s">
        <v>776</v>
      </c>
      <c r="B85" s="57"/>
      <c r="C85" s="26">
        <f t="shared" si="4"/>
        <v>0</v>
      </c>
      <c r="D85" s="7"/>
      <c r="E85" s="671"/>
      <c r="F85" s="7"/>
      <c r="G85" s="671"/>
    </row>
    <row r="86" spans="1:8">
      <c r="A86" s="51" t="s">
        <v>777</v>
      </c>
      <c r="C86" s="26">
        <f t="shared" si="4"/>
        <v>0</v>
      </c>
      <c r="D86" s="7"/>
      <c r="E86" s="26">
        <f>E87+E88+E89+E90</f>
        <v>0</v>
      </c>
      <c r="F86" s="7"/>
      <c r="G86" s="26">
        <f>G87+G88+G89+G90</f>
        <v>0</v>
      </c>
    </row>
    <row r="87" spans="1:8">
      <c r="A87" s="672"/>
      <c r="C87" s="26">
        <f t="shared" si="4"/>
        <v>0</v>
      </c>
      <c r="D87" s="7"/>
      <c r="E87" s="671"/>
      <c r="F87" s="7"/>
      <c r="G87" s="671"/>
    </row>
    <row r="88" spans="1:8">
      <c r="A88" s="674"/>
      <c r="C88" s="26">
        <f t="shared" si="4"/>
        <v>0</v>
      </c>
      <c r="D88" s="7"/>
      <c r="E88" s="671"/>
      <c r="F88" s="7"/>
      <c r="G88" s="671"/>
    </row>
    <row r="89" spans="1:8">
      <c r="A89" s="674"/>
      <c r="C89" s="26">
        <f t="shared" si="4"/>
        <v>0</v>
      </c>
      <c r="D89" s="7"/>
      <c r="E89" s="671"/>
      <c r="F89" s="7"/>
      <c r="G89" s="671"/>
    </row>
    <row r="90" spans="1:8">
      <c r="A90" s="674"/>
      <c r="C90" s="26">
        <f t="shared" si="4"/>
        <v>0</v>
      </c>
      <c r="D90" s="7"/>
      <c r="E90" s="671"/>
      <c r="F90" s="7"/>
      <c r="G90" s="671"/>
    </row>
    <row r="91" spans="1:8">
      <c r="A91" s="52"/>
      <c r="B91" s="79"/>
      <c r="C91" s="74"/>
      <c r="D91" s="74"/>
      <c r="E91" s="74"/>
      <c r="F91" s="74"/>
      <c r="G91" s="74"/>
    </row>
    <row r="92" spans="1:8" ht="12.75" thickBot="1">
      <c r="A92" s="55" t="s">
        <v>778</v>
      </c>
      <c r="C92" s="23">
        <f>E92+G92</f>
        <v>0</v>
      </c>
      <c r="D92" s="7"/>
      <c r="E92" s="23">
        <f>SUM(E80:E86)</f>
        <v>0</v>
      </c>
      <c r="F92" s="7"/>
      <c r="G92" s="23">
        <f>SUM(G80:G86)</f>
        <v>0</v>
      </c>
    </row>
    <row r="93" spans="1:8" ht="12.75" thickTop="1">
      <c r="A93" s="55"/>
      <c r="C93" s="7"/>
      <c r="D93" s="7"/>
      <c r="E93" s="7"/>
      <c r="F93" s="7"/>
      <c r="G93" s="7"/>
    </row>
    <row r="94" spans="1:8">
      <c r="A94" s="55"/>
      <c r="C94" s="7"/>
      <c r="D94" s="7"/>
      <c r="E94" s="7"/>
      <c r="F94" s="7"/>
      <c r="G94" s="7"/>
    </row>
    <row r="95" spans="1:8" ht="12.75">
      <c r="A95" s="10" t="s">
        <v>262</v>
      </c>
      <c r="D95" s="7"/>
      <c r="E95" s="2"/>
      <c r="G95" s="2"/>
      <c r="H95" s="73"/>
    </row>
    <row r="96" spans="1:8" ht="24">
      <c r="A96" s="1"/>
      <c r="C96" s="12" t="s">
        <v>718</v>
      </c>
      <c r="D96" s="7"/>
      <c r="E96" s="12" t="s">
        <v>719</v>
      </c>
      <c r="F96" s="13"/>
      <c r="G96" s="12" t="s">
        <v>720</v>
      </c>
      <c r="H96" s="11"/>
    </row>
    <row r="97" spans="1:8" ht="12.75">
      <c r="A97" s="51" t="s">
        <v>784</v>
      </c>
      <c r="C97" s="27">
        <f>E97+G97</f>
        <v>0</v>
      </c>
      <c r="E97" s="27">
        <f>SUM(E98:E101)</f>
        <v>0</v>
      </c>
      <c r="F97" s="7"/>
      <c r="G97" s="27">
        <f>SUM(G98:G101)</f>
        <v>0</v>
      </c>
      <c r="H97" s="11"/>
    </row>
    <row r="98" spans="1:8" ht="12.75">
      <c r="A98" s="52" t="s">
        <v>137</v>
      </c>
      <c r="C98" s="27">
        <f>E98+G98</f>
        <v>0</v>
      </c>
      <c r="E98" s="669"/>
      <c r="F98" s="7"/>
      <c r="G98" s="669"/>
      <c r="H98" s="11"/>
    </row>
    <row r="99" spans="1:8" ht="12.75">
      <c r="A99" s="52" t="s">
        <v>138</v>
      </c>
      <c r="C99" s="27">
        <f>E99+G99</f>
        <v>0</v>
      </c>
      <c r="E99" s="669"/>
      <c r="F99" s="7"/>
      <c r="G99" s="669"/>
      <c r="H99" s="11"/>
    </row>
    <row r="100" spans="1:8" ht="12.75">
      <c r="A100" s="52" t="s">
        <v>139</v>
      </c>
      <c r="C100" s="27">
        <f>E100+G100</f>
        <v>0</v>
      </c>
      <c r="E100" s="669"/>
      <c r="F100" s="7"/>
      <c r="G100" s="669"/>
      <c r="H100" s="11"/>
    </row>
    <row r="101" spans="1:8" ht="12.75">
      <c r="A101" s="52" t="s">
        <v>140</v>
      </c>
      <c r="C101" s="27">
        <f>E101+G101</f>
        <v>0</v>
      </c>
      <c r="E101" s="669"/>
      <c r="F101" s="7"/>
      <c r="G101" s="669"/>
      <c r="H101" s="11"/>
    </row>
    <row r="102" spans="1:8" ht="12.75">
      <c r="A102" s="51" t="s">
        <v>783</v>
      </c>
      <c r="C102" s="27">
        <f t="shared" ref="C102:C112" si="5">E102+G102</f>
        <v>0</v>
      </c>
      <c r="E102" s="27">
        <f>SUM(E103:E106)</f>
        <v>0</v>
      </c>
      <c r="F102" s="7"/>
      <c r="G102" s="27">
        <f>SUM(G103:G106)</f>
        <v>0</v>
      </c>
      <c r="H102" s="11"/>
    </row>
    <row r="103" spans="1:8" ht="12.75">
      <c r="A103" s="52" t="s">
        <v>779</v>
      </c>
      <c r="C103" s="27">
        <f t="shared" si="5"/>
        <v>0</v>
      </c>
      <c r="E103" s="669"/>
      <c r="F103" s="7"/>
      <c r="G103" s="669"/>
      <c r="H103" s="11"/>
    </row>
    <row r="104" spans="1:8" ht="12.75">
      <c r="A104" s="52" t="s">
        <v>780</v>
      </c>
      <c r="C104" s="27">
        <f t="shared" si="5"/>
        <v>0</v>
      </c>
      <c r="E104" s="669"/>
      <c r="F104" s="7"/>
      <c r="G104" s="669"/>
      <c r="H104" s="11"/>
    </row>
    <row r="105" spans="1:8" ht="12.75">
      <c r="A105" s="52" t="s">
        <v>781</v>
      </c>
      <c r="C105" s="27">
        <f t="shared" si="5"/>
        <v>0</v>
      </c>
      <c r="E105" s="669"/>
      <c r="F105" s="7"/>
      <c r="G105" s="669"/>
      <c r="H105" s="11"/>
    </row>
    <row r="106" spans="1:8" ht="12.75">
      <c r="A106" s="52" t="s">
        <v>782</v>
      </c>
      <c r="C106" s="27">
        <f t="shared" si="5"/>
        <v>0</v>
      </c>
      <c r="E106" s="669"/>
      <c r="F106" s="7"/>
      <c r="G106" s="669"/>
      <c r="H106" s="11"/>
    </row>
    <row r="107" spans="1:8" ht="12.75">
      <c r="A107" s="51" t="s">
        <v>136</v>
      </c>
      <c r="C107" s="27">
        <f t="shared" si="5"/>
        <v>0</v>
      </c>
      <c r="E107" s="27">
        <f>SUM(E108:E112)</f>
        <v>0</v>
      </c>
      <c r="F107" s="7"/>
      <c r="G107" s="27">
        <f>SUM(G108:G112)</f>
        <v>0</v>
      </c>
      <c r="H107" s="11"/>
    </row>
    <row r="108" spans="1:8" ht="12.75">
      <c r="A108" s="672"/>
      <c r="C108" s="27">
        <f t="shared" si="5"/>
        <v>0</v>
      </c>
      <c r="E108" s="669"/>
      <c r="F108" s="7"/>
      <c r="G108" s="669"/>
      <c r="H108" s="11"/>
    </row>
    <row r="109" spans="1:8" ht="12.75">
      <c r="A109" s="674"/>
      <c r="C109" s="27">
        <f t="shared" si="5"/>
        <v>0</v>
      </c>
      <c r="E109" s="669"/>
      <c r="F109" s="7"/>
      <c r="G109" s="669"/>
      <c r="H109" s="11"/>
    </row>
    <row r="110" spans="1:8" ht="12.75">
      <c r="A110" s="674"/>
      <c r="C110" s="27">
        <f t="shared" si="5"/>
        <v>0</v>
      </c>
      <c r="E110" s="669"/>
      <c r="F110" s="7"/>
      <c r="G110" s="669"/>
      <c r="H110" s="11"/>
    </row>
    <row r="111" spans="1:8" ht="12.75">
      <c r="A111" s="674"/>
      <c r="C111" s="27">
        <f t="shared" si="5"/>
        <v>0</v>
      </c>
      <c r="E111" s="669"/>
      <c r="F111" s="7"/>
      <c r="G111" s="669"/>
      <c r="H111" s="11"/>
    </row>
    <row r="112" spans="1:8" ht="12.75">
      <c r="A112" s="674"/>
      <c r="C112" s="27">
        <f t="shared" si="5"/>
        <v>0</v>
      </c>
      <c r="E112" s="669"/>
      <c r="F112" s="7"/>
      <c r="G112" s="669"/>
      <c r="H112" s="11"/>
    </row>
    <row r="113" spans="1:8" ht="12.75">
      <c r="A113" s="52"/>
      <c r="C113" s="74"/>
      <c r="E113" s="74"/>
      <c r="F113" s="74"/>
      <c r="G113" s="74"/>
      <c r="H113" s="11"/>
    </row>
    <row r="114" spans="1:8" ht="12.75" thickBot="1">
      <c r="A114" s="55" t="s">
        <v>263</v>
      </c>
      <c r="C114" s="23">
        <f>E114+G114</f>
        <v>0</v>
      </c>
      <c r="D114" s="7"/>
      <c r="E114" s="23">
        <f>E97+E102+E107</f>
        <v>0</v>
      </c>
      <c r="F114" s="7"/>
      <c r="G114" s="23">
        <f>G97+G102+G107</f>
        <v>0</v>
      </c>
    </row>
    <row r="115" spans="1:8" ht="13.5" thickTop="1">
      <c r="A115" s="52"/>
      <c r="C115" s="74"/>
      <c r="E115" s="74"/>
      <c r="F115" s="74"/>
      <c r="G115" s="74"/>
      <c r="H115" s="11"/>
    </row>
    <row r="116" spans="1:8" ht="12.75">
      <c r="A116" s="52"/>
      <c r="C116" s="74"/>
      <c r="E116" s="74"/>
      <c r="F116" s="74"/>
      <c r="G116" s="74"/>
      <c r="H116" s="11"/>
    </row>
    <row r="117" spans="1:8" ht="12.75">
      <c r="A117" s="10" t="s">
        <v>926</v>
      </c>
      <c r="B117" s="22"/>
      <c r="C117" s="45"/>
      <c r="D117" s="7"/>
    </row>
    <row r="118" spans="1:8" ht="12.75">
      <c r="A118" s="49"/>
      <c r="B118" s="22"/>
      <c r="C118" s="45"/>
      <c r="D118" s="7"/>
    </row>
    <row r="119" spans="1:8">
      <c r="A119" s="49" t="s">
        <v>927</v>
      </c>
      <c r="B119" s="2"/>
      <c r="C119" s="2"/>
      <c r="D119" s="7"/>
      <c r="E119" s="2"/>
      <c r="G119" s="2"/>
    </row>
    <row r="120" spans="1:8" ht="24">
      <c r="A120" s="49" t="s">
        <v>786</v>
      </c>
      <c r="B120" s="58" t="s">
        <v>787</v>
      </c>
      <c r="C120" s="12" t="s">
        <v>718</v>
      </c>
      <c r="D120" s="7"/>
      <c r="E120" s="12" t="s">
        <v>719</v>
      </c>
      <c r="F120" s="13"/>
      <c r="G120" s="12" t="s">
        <v>720</v>
      </c>
    </row>
    <row r="121" spans="1:8">
      <c r="A121" s="763" t="s">
        <v>949</v>
      </c>
      <c r="B121" s="671"/>
      <c r="C121" s="16">
        <f t="shared" ref="C121:C136" si="6">E121+G121</f>
        <v>0</v>
      </c>
      <c r="D121" s="7"/>
      <c r="E121" s="669"/>
      <c r="F121" s="7"/>
      <c r="G121" s="669"/>
    </row>
    <row r="122" spans="1:8">
      <c r="A122" s="763" t="s">
        <v>950</v>
      </c>
      <c r="B122" s="671"/>
      <c r="C122" s="16">
        <f t="shared" si="6"/>
        <v>0</v>
      </c>
      <c r="E122" s="669"/>
      <c r="F122" s="7"/>
      <c r="G122" s="669"/>
    </row>
    <row r="123" spans="1:8">
      <c r="A123" s="763" t="s">
        <v>951</v>
      </c>
      <c r="B123" s="671"/>
      <c r="C123" s="16">
        <f t="shared" si="6"/>
        <v>0</v>
      </c>
      <c r="E123" s="669"/>
      <c r="F123" s="7"/>
      <c r="G123" s="669"/>
    </row>
    <row r="124" spans="1:8">
      <c r="A124" s="763" t="s">
        <v>1177</v>
      </c>
      <c r="B124" s="671"/>
      <c r="C124" s="16">
        <f t="shared" si="6"/>
        <v>0</v>
      </c>
      <c r="E124" s="669"/>
      <c r="F124" s="7"/>
      <c r="G124" s="669"/>
    </row>
    <row r="125" spans="1:8">
      <c r="A125" s="763" t="s">
        <v>1178</v>
      </c>
      <c r="B125" s="671"/>
      <c r="C125" s="16">
        <f t="shared" si="6"/>
        <v>0</v>
      </c>
      <c r="E125" s="669"/>
      <c r="F125" s="7"/>
      <c r="G125" s="669"/>
    </row>
    <row r="126" spans="1:8">
      <c r="A126" s="774" t="s">
        <v>952</v>
      </c>
      <c r="B126" s="671"/>
      <c r="C126" s="16">
        <f t="shared" si="6"/>
        <v>0</v>
      </c>
      <c r="E126" s="669"/>
      <c r="F126" s="7"/>
      <c r="G126" s="669"/>
    </row>
    <row r="127" spans="1:8" ht="12" customHeight="1">
      <c r="A127" s="763" t="s">
        <v>953</v>
      </c>
      <c r="B127" s="669"/>
      <c r="C127" s="20">
        <f t="shared" si="6"/>
        <v>0</v>
      </c>
      <c r="E127" s="669"/>
      <c r="F127" s="7"/>
      <c r="G127" s="669"/>
    </row>
    <row r="128" spans="1:8" ht="12" customHeight="1">
      <c r="A128" s="774" t="s">
        <v>954</v>
      </c>
      <c r="B128" s="669"/>
      <c r="C128" s="20">
        <f t="shared" si="6"/>
        <v>0</v>
      </c>
      <c r="E128" s="669"/>
      <c r="F128" s="7"/>
      <c r="G128" s="669"/>
    </row>
    <row r="129" spans="1:7" ht="12" customHeight="1">
      <c r="A129" s="774" t="s">
        <v>955</v>
      </c>
      <c r="B129" s="669"/>
      <c r="C129" s="20">
        <f t="shared" si="6"/>
        <v>0</v>
      </c>
      <c r="E129" s="669"/>
      <c r="F129" s="7"/>
      <c r="G129" s="669"/>
    </row>
    <row r="130" spans="1:7" ht="12" customHeight="1">
      <c r="A130" s="774" t="s">
        <v>956</v>
      </c>
      <c r="B130" s="669"/>
      <c r="C130" s="20">
        <f t="shared" si="6"/>
        <v>0</v>
      </c>
      <c r="E130" s="669"/>
      <c r="F130" s="7"/>
      <c r="G130" s="669"/>
    </row>
    <row r="131" spans="1:7" ht="12" customHeight="1">
      <c r="A131" s="774" t="s">
        <v>957</v>
      </c>
      <c r="B131" s="669"/>
      <c r="C131" s="20">
        <f t="shared" si="6"/>
        <v>0</v>
      </c>
      <c r="E131" s="669"/>
      <c r="F131" s="7"/>
      <c r="G131" s="669"/>
    </row>
    <row r="132" spans="1:7" ht="12" customHeight="1">
      <c r="A132" s="774" t="s">
        <v>958</v>
      </c>
      <c r="B132" s="669"/>
      <c r="C132" s="20">
        <f t="shared" si="6"/>
        <v>0</v>
      </c>
      <c r="E132" s="669"/>
      <c r="F132" s="7"/>
      <c r="G132" s="669"/>
    </row>
    <row r="133" spans="1:7" ht="12" customHeight="1">
      <c r="A133" s="774" t="s">
        <v>959</v>
      </c>
      <c r="B133" s="669"/>
      <c r="C133" s="20">
        <f t="shared" si="6"/>
        <v>0</v>
      </c>
      <c r="E133" s="669"/>
      <c r="F133" s="7"/>
      <c r="G133" s="669"/>
    </row>
    <row r="134" spans="1:7" ht="12" customHeight="1">
      <c r="A134" s="774" t="s">
        <v>960</v>
      </c>
      <c r="B134" s="669"/>
      <c r="C134" s="20">
        <f t="shared" si="6"/>
        <v>0</v>
      </c>
      <c r="E134" s="669"/>
      <c r="F134" s="7"/>
      <c r="G134" s="669"/>
    </row>
    <row r="135" spans="1:7" ht="12" customHeight="1">
      <c r="A135" s="774" t="s">
        <v>961</v>
      </c>
      <c r="B135" s="669"/>
      <c r="C135" s="20">
        <f t="shared" si="6"/>
        <v>0</v>
      </c>
      <c r="E135" s="669"/>
      <c r="F135" s="7"/>
      <c r="G135" s="669"/>
    </row>
    <row r="136" spans="1:7">
      <c r="A136" s="49" t="s">
        <v>928</v>
      </c>
      <c r="B136" s="59">
        <f>SUM(B121:B126)+SUM(B127:B135)</f>
        <v>0</v>
      </c>
      <c r="C136" s="60">
        <f t="shared" si="6"/>
        <v>0</v>
      </c>
      <c r="E136" s="59">
        <f>SUM(E121:E126)+SUM(E127:E135)</f>
        <v>0</v>
      </c>
      <c r="F136" s="7"/>
      <c r="G136" s="59">
        <f>SUM(G121:G126)+SUM(G127:G135)</f>
        <v>0</v>
      </c>
    </row>
    <row r="137" spans="1:7">
      <c r="A137" s="49"/>
      <c r="C137" s="2"/>
      <c r="D137" s="7"/>
      <c r="E137" s="2"/>
      <c r="G137" s="2"/>
    </row>
    <row r="138" spans="1:7" ht="24">
      <c r="A138" s="49" t="s">
        <v>1234</v>
      </c>
      <c r="B138" s="58" t="s">
        <v>787</v>
      </c>
      <c r="C138" s="12" t="s">
        <v>718</v>
      </c>
      <c r="D138" s="7"/>
      <c r="E138" s="12" t="s">
        <v>719</v>
      </c>
      <c r="F138" s="13"/>
      <c r="G138" s="12" t="s">
        <v>720</v>
      </c>
    </row>
    <row r="139" spans="1:7">
      <c r="A139" s="61" t="s">
        <v>929</v>
      </c>
      <c r="B139" s="671"/>
      <c r="C139" s="26">
        <f t="shared" ref="C139:C146" si="7">E139+G139</f>
        <v>0</v>
      </c>
      <c r="D139" s="7"/>
      <c r="E139" s="671"/>
      <c r="F139" s="7"/>
      <c r="G139" s="671"/>
    </row>
    <row r="140" spans="1:7">
      <c r="A140" s="61" t="s">
        <v>930</v>
      </c>
      <c r="B140" s="671"/>
      <c r="C140" s="26">
        <f t="shared" si="7"/>
        <v>0</v>
      </c>
      <c r="D140" s="7"/>
      <c r="E140" s="671"/>
      <c r="F140" s="7"/>
      <c r="G140" s="671"/>
    </row>
    <row r="141" spans="1:7">
      <c r="A141" s="61" t="s">
        <v>962</v>
      </c>
      <c r="B141" s="671"/>
      <c r="C141" s="26">
        <f t="shared" si="7"/>
        <v>0</v>
      </c>
      <c r="D141" s="7"/>
      <c r="E141" s="671"/>
      <c r="F141" s="7"/>
      <c r="G141" s="671"/>
    </row>
    <row r="142" spans="1:7">
      <c r="A142" s="61" t="s">
        <v>963</v>
      </c>
      <c r="B142" s="671"/>
      <c r="C142" s="26">
        <f t="shared" si="7"/>
        <v>0</v>
      </c>
      <c r="D142" s="7"/>
      <c r="E142" s="671"/>
      <c r="F142" s="7"/>
      <c r="G142" s="671"/>
    </row>
    <row r="143" spans="1:7" s="2" customFormat="1">
      <c r="A143" s="773" t="s">
        <v>964</v>
      </c>
      <c r="B143" s="671"/>
      <c r="C143" s="26">
        <f t="shared" si="7"/>
        <v>0</v>
      </c>
      <c r="D143" s="7"/>
      <c r="E143" s="671"/>
      <c r="F143" s="7"/>
      <c r="G143" s="671"/>
    </row>
    <row r="144" spans="1:7" s="2" customFormat="1" ht="11.25" customHeight="1">
      <c r="A144" s="61" t="s">
        <v>965</v>
      </c>
      <c r="B144" s="671"/>
      <c r="C144" s="26">
        <f t="shared" si="7"/>
        <v>0</v>
      </c>
      <c r="D144" s="7"/>
      <c r="E144" s="671"/>
      <c r="F144" s="7"/>
      <c r="G144" s="671"/>
    </row>
    <row r="145" spans="1:7" s="2" customFormat="1">
      <c r="A145" s="61" t="s">
        <v>966</v>
      </c>
      <c r="B145" s="676"/>
      <c r="C145" s="38">
        <f t="shared" si="7"/>
        <v>0</v>
      </c>
      <c r="D145" s="7"/>
      <c r="E145" s="676"/>
      <c r="F145" s="7"/>
      <c r="G145" s="676"/>
    </row>
    <row r="146" spans="1:7" s="2" customFormat="1">
      <c r="A146" s="49" t="s">
        <v>1235</v>
      </c>
      <c r="B146" s="59">
        <f>SUM(B139:B145)</f>
        <v>0</v>
      </c>
      <c r="C146" s="60">
        <f t="shared" si="7"/>
        <v>0</v>
      </c>
      <c r="D146" s="7"/>
      <c r="E146" s="59">
        <f>SUM(E139:E145)</f>
        <v>0</v>
      </c>
      <c r="F146" s="7"/>
      <c r="G146" s="59">
        <f>SUM(G139:G145)</f>
        <v>0</v>
      </c>
    </row>
    <row r="147" spans="1:7" s="2" customFormat="1">
      <c r="A147" s="61"/>
      <c r="B147" s="1"/>
      <c r="C147" s="62"/>
      <c r="D147" s="7"/>
      <c r="E147" s="62"/>
      <c r="F147" s="7"/>
      <c r="G147" s="62"/>
    </row>
    <row r="148" spans="1:7" s="2" customFormat="1" ht="12.75" thickBot="1">
      <c r="A148" s="51" t="s">
        <v>931</v>
      </c>
      <c r="B148" s="23">
        <f>B136+B146</f>
        <v>0</v>
      </c>
      <c r="C148" s="23">
        <f>C136+C146</f>
        <v>0</v>
      </c>
      <c r="D148" s="7"/>
      <c r="E148" s="23">
        <f>E136+E146</f>
        <v>0</v>
      </c>
      <c r="F148" s="7"/>
      <c r="G148" s="23">
        <f>G136+G146</f>
        <v>0</v>
      </c>
    </row>
    <row r="149" spans="1:7" ht="13.5" thickTop="1">
      <c r="A149" s="40"/>
      <c r="B149" s="19"/>
      <c r="C149" s="46"/>
      <c r="D149" s="7"/>
      <c r="E149" s="46"/>
      <c r="G149" s="46"/>
    </row>
    <row r="150" spans="1:7" ht="12.75">
      <c r="A150" s="22"/>
      <c r="B150" s="22"/>
      <c r="C150" s="45"/>
      <c r="D150" s="7"/>
    </row>
    <row r="151" spans="1:7">
      <c r="A151" s="49" t="s">
        <v>932</v>
      </c>
      <c r="B151" s="2"/>
      <c r="C151" s="2"/>
      <c r="D151" s="7"/>
      <c r="E151" s="2"/>
      <c r="G151" s="2"/>
    </row>
    <row r="152" spans="1:7" ht="24">
      <c r="A152" s="49" t="s">
        <v>786</v>
      </c>
      <c r="B152" s="58" t="s">
        <v>787</v>
      </c>
      <c r="C152" s="12" t="s">
        <v>718</v>
      </c>
      <c r="D152" s="7"/>
      <c r="E152" s="12" t="s">
        <v>719</v>
      </c>
      <c r="F152" s="13"/>
      <c r="G152" s="12" t="s">
        <v>720</v>
      </c>
    </row>
    <row r="153" spans="1:7">
      <c r="A153" s="763" t="s">
        <v>967</v>
      </c>
      <c r="B153" s="671"/>
      <c r="C153" s="16">
        <f t="shared" ref="C153:C168" si="8">E153+G153</f>
        <v>0</v>
      </c>
      <c r="D153" s="7"/>
      <c r="E153" s="669"/>
      <c r="F153" s="7"/>
      <c r="G153" s="669"/>
    </row>
    <row r="154" spans="1:7">
      <c r="A154" s="763" t="s">
        <v>968</v>
      </c>
      <c r="B154" s="671"/>
      <c r="C154" s="16">
        <f t="shared" si="8"/>
        <v>0</v>
      </c>
      <c r="E154" s="669"/>
      <c r="F154" s="7"/>
      <c r="G154" s="669"/>
    </row>
    <row r="155" spans="1:7">
      <c r="A155" s="763" t="s">
        <v>969</v>
      </c>
      <c r="B155" s="671"/>
      <c r="C155" s="16">
        <f t="shared" si="8"/>
        <v>0</v>
      </c>
      <c r="E155" s="669"/>
      <c r="F155" s="7"/>
      <c r="G155" s="669"/>
    </row>
    <row r="156" spans="1:7">
      <c r="A156" s="763" t="s">
        <v>1179</v>
      </c>
      <c r="B156" s="671"/>
      <c r="C156" s="16">
        <f t="shared" si="8"/>
        <v>0</v>
      </c>
      <c r="E156" s="669"/>
      <c r="F156" s="7"/>
      <c r="G156" s="669"/>
    </row>
    <row r="157" spans="1:7">
      <c r="A157" s="763" t="s">
        <v>1180</v>
      </c>
      <c r="B157" s="671"/>
      <c r="C157" s="16">
        <f t="shared" si="8"/>
        <v>0</v>
      </c>
      <c r="E157" s="669"/>
      <c r="F157" s="7"/>
      <c r="G157" s="669"/>
    </row>
    <row r="158" spans="1:7">
      <c r="A158" s="774" t="s">
        <v>970</v>
      </c>
      <c r="B158" s="671"/>
      <c r="C158" s="16">
        <f t="shared" si="8"/>
        <v>0</v>
      </c>
      <c r="E158" s="669"/>
      <c r="F158" s="7"/>
      <c r="G158" s="669"/>
    </row>
    <row r="159" spans="1:7" ht="12" customHeight="1">
      <c r="A159" s="763" t="s">
        <v>971</v>
      </c>
      <c r="B159" s="669"/>
      <c r="C159" s="20">
        <f t="shared" si="8"/>
        <v>0</v>
      </c>
      <c r="E159" s="669"/>
      <c r="F159" s="7"/>
      <c r="G159" s="669"/>
    </row>
    <row r="160" spans="1:7" ht="12" customHeight="1">
      <c r="A160" s="774" t="s">
        <v>972</v>
      </c>
      <c r="B160" s="669"/>
      <c r="C160" s="20">
        <f t="shared" si="8"/>
        <v>0</v>
      </c>
      <c r="E160" s="669"/>
      <c r="F160" s="7"/>
      <c r="G160" s="669"/>
    </row>
    <row r="161" spans="1:7" ht="12" customHeight="1">
      <c r="A161" s="774" t="s">
        <v>973</v>
      </c>
      <c r="B161" s="669"/>
      <c r="C161" s="20">
        <f t="shared" si="8"/>
        <v>0</v>
      </c>
      <c r="E161" s="669"/>
      <c r="F161" s="7"/>
      <c r="G161" s="669"/>
    </row>
    <row r="162" spans="1:7" ht="12" customHeight="1">
      <c r="A162" s="774" t="s">
        <v>974</v>
      </c>
      <c r="B162" s="669"/>
      <c r="C162" s="20">
        <f t="shared" si="8"/>
        <v>0</v>
      </c>
      <c r="E162" s="669"/>
      <c r="F162" s="7"/>
      <c r="G162" s="669"/>
    </row>
    <row r="163" spans="1:7" ht="12" customHeight="1">
      <c r="A163" s="774" t="s">
        <v>975</v>
      </c>
      <c r="B163" s="669"/>
      <c r="C163" s="20">
        <f t="shared" si="8"/>
        <v>0</v>
      </c>
      <c r="E163" s="669"/>
      <c r="F163" s="7"/>
      <c r="G163" s="669"/>
    </row>
    <row r="164" spans="1:7" ht="12" customHeight="1">
      <c r="A164" s="774" t="s">
        <v>976</v>
      </c>
      <c r="B164" s="669"/>
      <c r="C164" s="20">
        <f t="shared" si="8"/>
        <v>0</v>
      </c>
      <c r="E164" s="669"/>
      <c r="F164" s="7"/>
      <c r="G164" s="669"/>
    </row>
    <row r="165" spans="1:7" ht="12" customHeight="1">
      <c r="A165" s="774" t="s">
        <v>977</v>
      </c>
      <c r="B165" s="669"/>
      <c r="C165" s="20">
        <f t="shared" si="8"/>
        <v>0</v>
      </c>
      <c r="E165" s="669"/>
      <c r="F165" s="7"/>
      <c r="G165" s="669"/>
    </row>
    <row r="166" spans="1:7" ht="12" customHeight="1">
      <c r="A166" s="774" t="s">
        <v>978</v>
      </c>
      <c r="B166" s="669"/>
      <c r="C166" s="20">
        <f t="shared" si="8"/>
        <v>0</v>
      </c>
      <c r="E166" s="669"/>
      <c r="F166" s="7"/>
      <c r="G166" s="669"/>
    </row>
    <row r="167" spans="1:7" ht="12" customHeight="1">
      <c r="A167" s="774" t="s">
        <v>979</v>
      </c>
      <c r="B167" s="669"/>
      <c r="C167" s="20">
        <f t="shared" si="8"/>
        <v>0</v>
      </c>
      <c r="E167" s="669"/>
      <c r="F167" s="7"/>
      <c r="G167" s="669"/>
    </row>
    <row r="168" spans="1:7" ht="12.75" thickBot="1">
      <c r="A168" s="49" t="s">
        <v>933</v>
      </c>
      <c r="B168" s="63">
        <f>SUM(B153:B158)+SUM(B159:B167)</f>
        <v>0</v>
      </c>
      <c r="C168" s="23">
        <f t="shared" si="8"/>
        <v>0</v>
      </c>
      <c r="E168" s="63">
        <f>SUM(E153:E158)+SUM(E159:E167)</f>
        <v>0</v>
      </c>
      <c r="F168" s="7"/>
      <c r="G168" s="63">
        <f>SUM(G153:G158)+SUM(G159:G167)</f>
        <v>0</v>
      </c>
    </row>
    <row r="169" spans="1:7" ht="12.75" thickTop="1">
      <c r="A169" s="49"/>
      <c r="C169" s="2"/>
      <c r="D169" s="7"/>
      <c r="E169" s="2"/>
      <c r="G169" s="2"/>
    </row>
    <row r="170" spans="1:7" ht="24">
      <c r="A170" s="49" t="s">
        <v>1234</v>
      </c>
      <c r="B170" s="58" t="s">
        <v>787</v>
      </c>
      <c r="C170" s="12" t="s">
        <v>718</v>
      </c>
      <c r="D170" s="7"/>
      <c r="E170" s="12" t="s">
        <v>719</v>
      </c>
      <c r="F170" s="13"/>
      <c r="G170" s="12" t="s">
        <v>720</v>
      </c>
    </row>
    <row r="171" spans="1:7">
      <c r="A171" s="61" t="s">
        <v>934</v>
      </c>
      <c r="B171" s="671"/>
      <c r="C171" s="26">
        <f t="shared" ref="C171:C178" si="9">E171+G171</f>
        <v>0</v>
      </c>
      <c r="D171" s="7"/>
      <c r="E171" s="671"/>
      <c r="F171" s="7"/>
      <c r="G171" s="671"/>
    </row>
    <row r="172" spans="1:7">
      <c r="A172" s="61" t="s">
        <v>935</v>
      </c>
      <c r="B172" s="671"/>
      <c r="C172" s="26">
        <f t="shared" si="9"/>
        <v>0</v>
      </c>
      <c r="D172" s="7"/>
      <c r="E172" s="671"/>
      <c r="F172" s="7"/>
      <c r="G172" s="671"/>
    </row>
    <row r="173" spans="1:7">
      <c r="A173" s="61" t="s">
        <v>980</v>
      </c>
      <c r="B173" s="671"/>
      <c r="C173" s="26">
        <f t="shared" si="9"/>
        <v>0</v>
      </c>
      <c r="D173" s="7"/>
      <c r="E173" s="671"/>
      <c r="F173" s="7"/>
      <c r="G173" s="671"/>
    </row>
    <row r="174" spans="1:7">
      <c r="A174" s="61" t="s">
        <v>981</v>
      </c>
      <c r="B174" s="671"/>
      <c r="C174" s="26">
        <f t="shared" si="9"/>
        <v>0</v>
      </c>
      <c r="D174" s="7"/>
      <c r="E174" s="671"/>
      <c r="F174" s="7"/>
      <c r="G174" s="671"/>
    </row>
    <row r="175" spans="1:7" s="2" customFormat="1">
      <c r="A175" s="773" t="s">
        <v>982</v>
      </c>
      <c r="B175" s="671"/>
      <c r="C175" s="26">
        <f t="shared" si="9"/>
        <v>0</v>
      </c>
      <c r="D175" s="7"/>
      <c r="E175" s="671"/>
      <c r="F175" s="7"/>
      <c r="G175" s="671"/>
    </row>
    <row r="176" spans="1:7" s="2" customFormat="1" ht="11.25" customHeight="1">
      <c r="A176" s="61" t="s">
        <v>983</v>
      </c>
      <c r="B176" s="671"/>
      <c r="C176" s="26">
        <f t="shared" si="9"/>
        <v>0</v>
      </c>
      <c r="D176" s="7"/>
      <c r="E176" s="671"/>
      <c r="F176" s="7"/>
      <c r="G176" s="671"/>
    </row>
    <row r="177" spans="1:7" s="2" customFormat="1">
      <c r="A177" s="61" t="s">
        <v>984</v>
      </c>
      <c r="B177" s="676"/>
      <c r="C177" s="38">
        <f t="shared" si="9"/>
        <v>0</v>
      </c>
      <c r="D177" s="7"/>
      <c r="E177" s="676"/>
      <c r="F177" s="7"/>
      <c r="G177" s="676"/>
    </row>
    <row r="178" spans="1:7" s="2" customFormat="1">
      <c r="A178" s="49" t="s">
        <v>1236</v>
      </c>
      <c r="B178" s="59">
        <f>SUM(B171:B177)</f>
        <v>0</v>
      </c>
      <c r="C178" s="60">
        <f t="shared" si="9"/>
        <v>0</v>
      </c>
      <c r="D178" s="7"/>
      <c r="E178" s="59">
        <f>SUM(E171:E177)</f>
        <v>0</v>
      </c>
      <c r="F178" s="7"/>
      <c r="G178" s="59">
        <f>SUM(G171:G177)</f>
        <v>0</v>
      </c>
    </row>
    <row r="179" spans="1:7" s="2" customFormat="1">
      <c r="A179" s="61"/>
      <c r="B179" s="1"/>
      <c r="C179" s="62"/>
      <c r="D179" s="7"/>
      <c r="E179" s="62"/>
      <c r="F179" s="7"/>
      <c r="G179" s="62"/>
    </row>
    <row r="180" spans="1:7" s="2" customFormat="1" ht="12.75" thickBot="1">
      <c r="A180" s="51" t="s">
        <v>936</v>
      </c>
      <c r="B180" s="23">
        <f>B168+B178</f>
        <v>0</v>
      </c>
      <c r="C180" s="23">
        <f>C168+C178</f>
        <v>0</v>
      </c>
      <c r="D180" s="7"/>
      <c r="E180" s="23">
        <f>E168+E178</f>
        <v>0</v>
      </c>
      <c r="F180" s="7"/>
      <c r="G180" s="23">
        <f>G168+G178</f>
        <v>0</v>
      </c>
    </row>
    <row r="181" spans="1:7" s="2" customFormat="1" ht="12.75" thickTop="1">
      <c r="A181" s="51"/>
      <c r="B181" s="1"/>
      <c r="C181" s="7"/>
      <c r="D181" s="7"/>
      <c r="E181" s="7"/>
      <c r="F181" s="7"/>
      <c r="G181" s="7"/>
    </row>
    <row r="182" spans="1:7">
      <c r="D182" s="7"/>
    </row>
    <row r="183" spans="1:7" ht="12.75">
      <c r="A183" s="47"/>
      <c r="D183" s="7"/>
      <c r="G183" s="48"/>
    </row>
    <row r="184" spans="1:7">
      <c r="A184" s="10" t="s">
        <v>938</v>
      </c>
      <c r="B184" s="2"/>
      <c r="C184" s="2"/>
      <c r="D184" s="7"/>
      <c r="E184" s="2"/>
      <c r="G184" s="2"/>
    </row>
    <row r="185" spans="1:7" ht="24">
      <c r="A185" s="49" t="s">
        <v>786</v>
      </c>
      <c r="B185" s="2"/>
      <c r="C185" s="12" t="s">
        <v>718</v>
      </c>
      <c r="D185" s="38"/>
      <c r="E185" s="12" t="s">
        <v>719</v>
      </c>
      <c r="F185" s="13"/>
      <c r="G185" s="12" t="s">
        <v>720</v>
      </c>
    </row>
    <row r="186" spans="1:7">
      <c r="A186" s="763" t="s">
        <v>990</v>
      </c>
      <c r="B186" s="2"/>
      <c r="C186" s="16">
        <f t="shared" ref="C186:C201" si="10">E186+G186</f>
        <v>0</v>
      </c>
      <c r="D186" s="7"/>
      <c r="E186" s="669"/>
      <c r="F186" s="7"/>
      <c r="G186" s="669"/>
    </row>
    <row r="187" spans="1:7">
      <c r="A187" s="763" t="s">
        <v>991</v>
      </c>
      <c r="B187" s="2"/>
      <c r="C187" s="16">
        <f t="shared" si="10"/>
        <v>0</v>
      </c>
      <c r="E187" s="669"/>
      <c r="F187" s="7"/>
      <c r="G187" s="669"/>
    </row>
    <row r="188" spans="1:7">
      <c r="A188" s="763" t="s">
        <v>992</v>
      </c>
      <c r="B188" s="2"/>
      <c r="C188" s="16">
        <f t="shared" si="10"/>
        <v>0</v>
      </c>
      <c r="E188" s="669"/>
      <c r="F188" s="7"/>
      <c r="G188" s="669"/>
    </row>
    <row r="189" spans="1:7">
      <c r="A189" s="763" t="s">
        <v>1181</v>
      </c>
      <c r="B189" s="2"/>
      <c r="C189" s="16">
        <f t="shared" si="10"/>
        <v>0</v>
      </c>
      <c r="E189" s="669"/>
      <c r="F189" s="7"/>
      <c r="G189" s="669"/>
    </row>
    <row r="190" spans="1:7">
      <c r="A190" s="763" t="s">
        <v>1182</v>
      </c>
      <c r="B190" s="2"/>
      <c r="C190" s="16">
        <f t="shared" si="10"/>
        <v>0</v>
      </c>
      <c r="E190" s="669"/>
      <c r="F190" s="7"/>
      <c r="G190" s="669"/>
    </row>
    <row r="191" spans="1:7">
      <c r="A191" s="774" t="s">
        <v>993</v>
      </c>
      <c r="B191" s="2"/>
      <c r="C191" s="16">
        <f t="shared" si="10"/>
        <v>0</v>
      </c>
      <c r="E191" s="669"/>
      <c r="F191" s="7"/>
      <c r="G191" s="669"/>
    </row>
    <row r="192" spans="1:7" ht="12" customHeight="1">
      <c r="A192" s="763" t="s">
        <v>994</v>
      </c>
      <c r="B192" s="764"/>
      <c r="C192" s="20">
        <f t="shared" si="10"/>
        <v>0</v>
      </c>
      <c r="E192" s="669"/>
      <c r="F192" s="7"/>
      <c r="G192" s="669"/>
    </row>
    <row r="193" spans="1:8" ht="12" customHeight="1">
      <c r="A193" s="774" t="s">
        <v>995</v>
      </c>
      <c r="B193" s="764"/>
      <c r="C193" s="20">
        <f t="shared" si="10"/>
        <v>0</v>
      </c>
      <c r="E193" s="669"/>
      <c r="F193" s="7"/>
      <c r="G193" s="669"/>
    </row>
    <row r="194" spans="1:8" ht="12" customHeight="1">
      <c r="A194" s="774" t="s">
        <v>996</v>
      </c>
      <c r="B194" s="764"/>
      <c r="C194" s="20">
        <f t="shared" si="10"/>
        <v>0</v>
      </c>
      <c r="E194" s="669"/>
      <c r="F194" s="7"/>
      <c r="G194" s="669"/>
    </row>
    <row r="195" spans="1:8" ht="12" customHeight="1">
      <c r="A195" s="774" t="s">
        <v>997</v>
      </c>
      <c r="B195" s="764"/>
      <c r="C195" s="20">
        <f t="shared" si="10"/>
        <v>0</v>
      </c>
      <c r="E195" s="669"/>
      <c r="F195" s="7"/>
      <c r="G195" s="669"/>
    </row>
    <row r="196" spans="1:8" ht="12" customHeight="1">
      <c r="A196" s="774" t="s">
        <v>998</v>
      </c>
      <c r="B196" s="764"/>
      <c r="C196" s="20">
        <f t="shared" si="10"/>
        <v>0</v>
      </c>
      <c r="E196" s="669"/>
      <c r="F196" s="7"/>
      <c r="G196" s="669"/>
    </row>
    <row r="197" spans="1:8" ht="12" customHeight="1">
      <c r="A197" s="774" t="s">
        <v>999</v>
      </c>
      <c r="B197" s="764"/>
      <c r="C197" s="20">
        <f t="shared" si="10"/>
        <v>0</v>
      </c>
      <c r="E197" s="669"/>
      <c r="F197" s="7"/>
      <c r="G197" s="669"/>
    </row>
    <row r="198" spans="1:8" ht="12" customHeight="1">
      <c r="A198" s="774" t="s">
        <v>1000</v>
      </c>
      <c r="B198" s="764"/>
      <c r="C198" s="20">
        <f t="shared" si="10"/>
        <v>0</v>
      </c>
      <c r="E198" s="669"/>
      <c r="F198" s="7"/>
      <c r="G198" s="669"/>
    </row>
    <row r="199" spans="1:8" ht="12" customHeight="1">
      <c r="A199" s="774" t="s">
        <v>1001</v>
      </c>
      <c r="B199" s="764"/>
      <c r="C199" s="20">
        <f t="shared" si="10"/>
        <v>0</v>
      </c>
      <c r="E199" s="669"/>
      <c r="F199" s="7"/>
      <c r="G199" s="669"/>
    </row>
    <row r="200" spans="1:8" ht="12" customHeight="1">
      <c r="A200" s="774" t="s">
        <v>1002</v>
      </c>
      <c r="B200" s="764"/>
      <c r="C200" s="20">
        <f t="shared" si="10"/>
        <v>0</v>
      </c>
      <c r="E200" s="669"/>
      <c r="F200" s="7"/>
      <c r="G200" s="669"/>
    </row>
    <row r="201" spans="1:8" ht="12.75" thickBot="1">
      <c r="A201" s="49" t="s">
        <v>939</v>
      </c>
      <c r="B201" s="2"/>
      <c r="C201" s="23">
        <f t="shared" si="10"/>
        <v>0</v>
      </c>
      <c r="E201" s="63">
        <f>SUM(E186:E191)+SUM(E192:E200)</f>
        <v>0</v>
      </c>
      <c r="F201" s="7"/>
      <c r="G201" s="63">
        <f>SUM(G186:G191)+SUM(G192:G200)</f>
        <v>0</v>
      </c>
    </row>
    <row r="202" spans="1:8" ht="12.75" thickTop="1">
      <c r="A202" s="49"/>
      <c r="B202" s="2"/>
      <c r="C202" s="2"/>
      <c r="D202" s="7"/>
      <c r="E202" s="2"/>
      <c r="G202" s="64"/>
    </row>
    <row r="203" spans="1:8" ht="24">
      <c r="A203" s="49" t="s">
        <v>1234</v>
      </c>
      <c r="B203" s="2"/>
      <c r="C203" s="12" t="s">
        <v>718</v>
      </c>
      <c r="D203" s="7"/>
      <c r="E203" s="12" t="s">
        <v>719</v>
      </c>
      <c r="F203" s="13"/>
      <c r="G203" s="12" t="s">
        <v>720</v>
      </c>
    </row>
    <row r="204" spans="1:8" collapsed="1">
      <c r="A204" s="61" t="s">
        <v>940</v>
      </c>
      <c r="B204" s="2"/>
      <c r="C204" s="26">
        <f t="shared" ref="C204:C211" si="11">E204+G204</f>
        <v>0</v>
      </c>
      <c r="D204" s="7"/>
      <c r="E204" s="671"/>
      <c r="F204" s="7"/>
      <c r="G204" s="671"/>
    </row>
    <row r="205" spans="1:8" ht="12.75">
      <c r="A205" s="61" t="s">
        <v>941</v>
      </c>
      <c r="B205" s="2"/>
      <c r="C205" s="26">
        <f t="shared" si="11"/>
        <v>0</v>
      </c>
      <c r="D205" s="7"/>
      <c r="E205" s="671"/>
      <c r="F205" s="7"/>
      <c r="G205" s="671"/>
      <c r="H205" s="11"/>
    </row>
    <row r="206" spans="1:8">
      <c r="A206" s="61" t="s">
        <v>985</v>
      </c>
      <c r="B206" s="2"/>
      <c r="C206" s="26">
        <f t="shared" si="11"/>
        <v>0</v>
      </c>
      <c r="D206" s="7"/>
      <c r="E206" s="671"/>
      <c r="F206" s="7"/>
      <c r="G206" s="671"/>
      <c r="H206" s="2"/>
    </row>
    <row r="207" spans="1:8">
      <c r="A207" s="61" t="s">
        <v>986</v>
      </c>
      <c r="B207" s="2"/>
      <c r="C207" s="26">
        <f t="shared" si="11"/>
        <v>0</v>
      </c>
      <c r="D207" s="7"/>
      <c r="E207" s="671"/>
      <c r="F207" s="7"/>
      <c r="G207" s="671"/>
    </row>
    <row r="208" spans="1:8" collapsed="1">
      <c r="A208" s="773" t="s">
        <v>987</v>
      </c>
      <c r="B208" s="2"/>
      <c r="C208" s="26">
        <f t="shared" si="11"/>
        <v>0</v>
      </c>
      <c r="D208" s="7"/>
      <c r="E208" s="671"/>
      <c r="F208" s="7"/>
      <c r="G208" s="671"/>
    </row>
    <row r="209" spans="1:8">
      <c r="A209" s="61" t="s">
        <v>988</v>
      </c>
      <c r="B209" s="2"/>
      <c r="C209" s="26">
        <f t="shared" si="11"/>
        <v>0</v>
      </c>
      <c r="D209" s="7"/>
      <c r="E209" s="671"/>
      <c r="F209" s="7"/>
      <c r="G209" s="671"/>
    </row>
    <row r="210" spans="1:8" s="2" customFormat="1">
      <c r="A210" s="61" t="s">
        <v>989</v>
      </c>
      <c r="B210" s="1"/>
      <c r="C210" s="38">
        <f t="shared" si="11"/>
        <v>0</v>
      </c>
      <c r="D210" s="7"/>
      <c r="E210" s="676"/>
      <c r="F210" s="7"/>
      <c r="G210" s="676"/>
    </row>
    <row r="211" spans="1:8">
      <c r="A211" s="49" t="s">
        <v>1237</v>
      </c>
      <c r="B211" s="2"/>
      <c r="C211" s="60">
        <f t="shared" si="11"/>
        <v>0</v>
      </c>
      <c r="D211" s="7"/>
      <c r="E211" s="59">
        <f>SUM(E204:E210)</f>
        <v>0</v>
      </c>
      <c r="F211" s="7"/>
      <c r="G211" s="59">
        <f>SUM(G204:G210)</f>
        <v>0</v>
      </c>
    </row>
    <row r="212" spans="1:8">
      <c r="A212" s="49"/>
      <c r="B212" s="2"/>
      <c r="C212" s="62"/>
      <c r="D212" s="7"/>
      <c r="E212" s="62"/>
      <c r="F212" s="7"/>
      <c r="G212" s="62"/>
    </row>
    <row r="213" spans="1:8" ht="13.5" thickBot="1">
      <c r="A213" s="49" t="s">
        <v>942</v>
      </c>
      <c r="B213" s="2"/>
      <c r="C213" s="23">
        <f>C201+C211</f>
        <v>0</v>
      </c>
      <c r="D213" s="7"/>
      <c r="E213" s="23">
        <f>E201+E211</f>
        <v>0</v>
      </c>
      <c r="F213" s="7"/>
      <c r="G213" s="23">
        <f>G201+G211</f>
        <v>0</v>
      </c>
      <c r="H213" s="48"/>
    </row>
    <row r="214" spans="1:8" ht="12.75" thickTop="1">
      <c r="H214" s="2"/>
    </row>
    <row r="215" spans="1:8" ht="12.75">
      <c r="A215" s="47"/>
      <c r="D215" s="13"/>
      <c r="G215" s="48"/>
    </row>
    <row r="216" spans="1:8" s="2" customFormat="1">
      <c r="A216" s="6"/>
      <c r="B216" s="1"/>
      <c r="C216" s="1"/>
      <c r="D216" s="7"/>
      <c r="E216" s="1"/>
      <c r="G216" s="1"/>
    </row>
    <row r="217" spans="1:8" s="2" customFormat="1">
      <c r="A217" s="10" t="s">
        <v>944</v>
      </c>
      <c r="D217" s="7"/>
    </row>
    <row r="218" spans="1:8" s="2" customFormat="1" ht="24">
      <c r="A218" s="49" t="s">
        <v>786</v>
      </c>
      <c r="B218" s="1"/>
      <c r="C218" s="12" t="s">
        <v>718</v>
      </c>
      <c r="D218" s="7"/>
      <c r="E218" s="12" t="s">
        <v>719</v>
      </c>
      <c r="F218" s="13"/>
      <c r="G218" s="12" t="s">
        <v>720</v>
      </c>
    </row>
    <row r="219" spans="1:8" s="2" customFormat="1">
      <c r="A219" s="763" t="s">
        <v>1003</v>
      </c>
      <c r="B219" s="1"/>
      <c r="C219" s="16">
        <f t="shared" ref="C219:C234" si="12">E219+G219</f>
        <v>0</v>
      </c>
      <c r="D219" s="7"/>
      <c r="E219" s="669"/>
      <c r="F219" s="7"/>
      <c r="G219" s="669"/>
    </row>
    <row r="220" spans="1:8" s="2" customFormat="1">
      <c r="A220" s="763" t="s">
        <v>1004</v>
      </c>
      <c r="B220" s="1"/>
      <c r="C220" s="16">
        <f t="shared" si="12"/>
        <v>0</v>
      </c>
      <c r="E220" s="669"/>
      <c r="F220" s="7"/>
      <c r="G220" s="669"/>
    </row>
    <row r="221" spans="1:8" s="2" customFormat="1">
      <c r="A221" s="763" t="s">
        <v>1005</v>
      </c>
      <c r="B221" s="1"/>
      <c r="C221" s="16">
        <f t="shared" si="12"/>
        <v>0</v>
      </c>
      <c r="E221" s="669"/>
      <c r="F221" s="7"/>
      <c r="G221" s="669"/>
    </row>
    <row r="222" spans="1:8" s="2" customFormat="1">
      <c r="A222" s="763" t="s">
        <v>1183</v>
      </c>
      <c r="B222" s="1"/>
      <c r="C222" s="16">
        <f t="shared" si="12"/>
        <v>0</v>
      </c>
      <c r="E222" s="669"/>
      <c r="F222" s="7"/>
      <c r="G222" s="669"/>
    </row>
    <row r="223" spans="1:8" s="2" customFormat="1">
      <c r="A223" s="763" t="s">
        <v>1184</v>
      </c>
      <c r="B223" s="1"/>
      <c r="C223" s="16">
        <f t="shared" si="12"/>
        <v>0</v>
      </c>
      <c r="E223" s="669"/>
      <c r="F223" s="7"/>
      <c r="G223" s="669"/>
    </row>
    <row r="224" spans="1:8" s="2" customFormat="1">
      <c r="A224" s="774" t="s">
        <v>1006</v>
      </c>
      <c r="B224" s="1"/>
      <c r="C224" s="16">
        <f t="shared" si="12"/>
        <v>0</v>
      </c>
      <c r="E224" s="669"/>
      <c r="F224" s="7"/>
      <c r="G224" s="669"/>
    </row>
    <row r="225" spans="1:7" ht="12" customHeight="1">
      <c r="A225" s="763" t="s">
        <v>1007</v>
      </c>
      <c r="B225" s="764"/>
      <c r="C225" s="20">
        <f t="shared" si="12"/>
        <v>0</v>
      </c>
      <c r="E225" s="669"/>
      <c r="F225" s="7"/>
      <c r="G225" s="669"/>
    </row>
    <row r="226" spans="1:7" ht="12" customHeight="1">
      <c r="A226" s="774" t="s">
        <v>1008</v>
      </c>
      <c r="B226" s="764"/>
      <c r="C226" s="20">
        <f t="shared" si="12"/>
        <v>0</v>
      </c>
      <c r="E226" s="669"/>
      <c r="F226" s="7"/>
      <c r="G226" s="669"/>
    </row>
    <row r="227" spans="1:7" ht="12" customHeight="1">
      <c r="A227" s="774" t="s">
        <v>1009</v>
      </c>
      <c r="B227" s="764"/>
      <c r="C227" s="20">
        <f t="shared" si="12"/>
        <v>0</v>
      </c>
      <c r="E227" s="669"/>
      <c r="F227" s="7"/>
      <c r="G227" s="669"/>
    </row>
    <row r="228" spans="1:7" ht="12" customHeight="1">
      <c r="A228" s="774" t="s">
        <v>1010</v>
      </c>
      <c r="B228" s="764"/>
      <c r="C228" s="20">
        <f t="shared" si="12"/>
        <v>0</v>
      </c>
      <c r="E228" s="669"/>
      <c r="F228" s="7"/>
      <c r="G228" s="669"/>
    </row>
    <row r="229" spans="1:7" ht="12" customHeight="1">
      <c r="A229" s="774" t="s">
        <v>1011</v>
      </c>
      <c r="B229" s="764"/>
      <c r="C229" s="20">
        <f t="shared" si="12"/>
        <v>0</v>
      </c>
      <c r="E229" s="669"/>
      <c r="F229" s="7"/>
      <c r="G229" s="669"/>
    </row>
    <row r="230" spans="1:7" ht="12" customHeight="1">
      <c r="A230" s="774" t="s">
        <v>1012</v>
      </c>
      <c r="B230" s="764"/>
      <c r="C230" s="20">
        <f t="shared" si="12"/>
        <v>0</v>
      </c>
      <c r="E230" s="669"/>
      <c r="F230" s="7"/>
      <c r="G230" s="669"/>
    </row>
    <row r="231" spans="1:7" ht="12" customHeight="1">
      <c r="A231" s="774" t="s">
        <v>1013</v>
      </c>
      <c r="B231" s="764"/>
      <c r="C231" s="20">
        <f t="shared" si="12"/>
        <v>0</v>
      </c>
      <c r="E231" s="669"/>
      <c r="F231" s="7"/>
      <c r="G231" s="669"/>
    </row>
    <row r="232" spans="1:7" ht="12" customHeight="1">
      <c r="A232" s="774" t="s">
        <v>1014</v>
      </c>
      <c r="B232" s="764"/>
      <c r="C232" s="20">
        <f t="shared" si="12"/>
        <v>0</v>
      </c>
      <c r="E232" s="669"/>
      <c r="F232" s="7"/>
      <c r="G232" s="669"/>
    </row>
    <row r="233" spans="1:7" ht="12" customHeight="1">
      <c r="A233" s="774" t="s">
        <v>1015</v>
      </c>
      <c r="B233" s="764"/>
      <c r="C233" s="20">
        <f t="shared" si="12"/>
        <v>0</v>
      </c>
      <c r="E233" s="669"/>
      <c r="F233" s="7"/>
      <c r="G233" s="669"/>
    </row>
    <row r="234" spans="1:7" s="2" customFormat="1" ht="12.75" thickBot="1">
      <c r="A234" s="49" t="s">
        <v>945</v>
      </c>
      <c r="B234" s="1"/>
      <c r="C234" s="23">
        <f t="shared" si="12"/>
        <v>0</v>
      </c>
      <c r="E234" s="63">
        <f>SUM(E219:E224)+SUM(E225:E233)</f>
        <v>0</v>
      </c>
      <c r="F234" s="7"/>
      <c r="G234" s="63">
        <f>SUM(G219:G224)+SUM(G225:G233)</f>
        <v>0</v>
      </c>
    </row>
    <row r="235" spans="1:7" s="2" customFormat="1" ht="12.75" thickTop="1">
      <c r="A235" s="49"/>
      <c r="B235" s="1"/>
      <c r="D235" s="7"/>
    </row>
    <row r="236" spans="1:7" s="2" customFormat="1" ht="24">
      <c r="A236" s="49" t="s">
        <v>1234</v>
      </c>
      <c r="B236" s="1"/>
      <c r="C236" s="12" t="s">
        <v>718</v>
      </c>
      <c r="D236" s="7"/>
      <c r="E236" s="12" t="s">
        <v>719</v>
      </c>
      <c r="F236" s="13"/>
      <c r="G236" s="12" t="s">
        <v>720</v>
      </c>
    </row>
    <row r="237" spans="1:7" s="2" customFormat="1">
      <c r="A237" s="61" t="s">
        <v>946</v>
      </c>
      <c r="B237" s="1"/>
      <c r="C237" s="26">
        <f t="shared" ref="C237:C244" si="13">E237+G237</f>
        <v>0</v>
      </c>
      <c r="D237" s="7"/>
      <c r="E237" s="671"/>
      <c r="F237" s="7"/>
      <c r="G237" s="671"/>
    </row>
    <row r="238" spans="1:7" s="2" customFormat="1">
      <c r="A238" s="61" t="s">
        <v>947</v>
      </c>
      <c r="B238" s="1"/>
      <c r="C238" s="26">
        <f t="shared" si="13"/>
        <v>0</v>
      </c>
      <c r="D238" s="7"/>
      <c r="E238" s="671"/>
      <c r="F238" s="7"/>
      <c r="G238" s="671"/>
    </row>
    <row r="239" spans="1:7" s="2" customFormat="1">
      <c r="A239" s="61" t="s">
        <v>1016</v>
      </c>
      <c r="B239" s="1"/>
      <c r="C239" s="26">
        <f t="shared" si="13"/>
        <v>0</v>
      </c>
      <c r="D239" s="7"/>
      <c r="E239" s="671"/>
      <c r="F239" s="7"/>
      <c r="G239" s="671"/>
    </row>
    <row r="240" spans="1:7">
      <c r="A240" s="61" t="s">
        <v>1017</v>
      </c>
      <c r="C240" s="26">
        <f t="shared" si="13"/>
        <v>0</v>
      </c>
      <c r="D240" s="7"/>
      <c r="E240" s="671"/>
      <c r="F240" s="7"/>
      <c r="G240" s="671"/>
    </row>
    <row r="241" spans="1:8">
      <c r="A241" s="773" t="s">
        <v>1018</v>
      </c>
      <c r="C241" s="26">
        <f t="shared" si="13"/>
        <v>0</v>
      </c>
      <c r="D241" s="7"/>
      <c r="E241" s="671"/>
      <c r="F241" s="7"/>
      <c r="G241" s="671"/>
    </row>
    <row r="242" spans="1:8">
      <c r="A242" s="61" t="s">
        <v>1019</v>
      </c>
      <c r="C242" s="26">
        <f t="shared" si="13"/>
        <v>0</v>
      </c>
      <c r="D242" s="7"/>
      <c r="E242" s="671"/>
      <c r="F242" s="7"/>
      <c r="G242" s="671"/>
    </row>
    <row r="243" spans="1:8" s="2" customFormat="1">
      <c r="A243" s="61" t="s">
        <v>1020</v>
      </c>
      <c r="B243" s="1"/>
      <c r="C243" s="38">
        <f t="shared" si="13"/>
        <v>0</v>
      </c>
      <c r="D243" s="7"/>
      <c r="E243" s="676"/>
      <c r="F243" s="7"/>
      <c r="G243" s="676"/>
    </row>
    <row r="244" spans="1:8">
      <c r="A244" s="49" t="s">
        <v>1238</v>
      </c>
      <c r="C244" s="60">
        <f t="shared" si="13"/>
        <v>0</v>
      </c>
      <c r="D244" s="7"/>
      <c r="E244" s="59">
        <f>SUM(E237:E243)</f>
        <v>0</v>
      </c>
      <c r="F244" s="7"/>
      <c r="G244" s="59">
        <f>SUM(G237:G243)</f>
        <v>0</v>
      </c>
    </row>
    <row r="245" spans="1:8">
      <c r="A245" s="61"/>
      <c r="C245" s="62"/>
      <c r="D245" s="7"/>
      <c r="E245" s="62"/>
      <c r="F245" s="7"/>
      <c r="G245" s="62"/>
    </row>
    <row r="246" spans="1:8" ht="12.75" thickBot="1">
      <c r="A246" s="51" t="s">
        <v>948</v>
      </c>
      <c r="C246" s="23">
        <f>C234+C244</f>
        <v>0</v>
      </c>
      <c r="D246" s="7"/>
      <c r="E246" s="23">
        <f>E234+E244</f>
        <v>0</v>
      </c>
      <c r="F246" s="7"/>
      <c r="G246" s="23">
        <f>G234+G244</f>
        <v>0</v>
      </c>
    </row>
    <row r="247" spans="1:8" ht="12.75" thickTop="1">
      <c r="A247" s="51"/>
      <c r="C247" s="7"/>
      <c r="D247" s="7"/>
      <c r="E247" s="7"/>
      <c r="F247" s="7"/>
      <c r="G247" s="7"/>
    </row>
    <row r="248" spans="1:8" ht="12.75">
      <c r="A248" s="10" t="s">
        <v>788</v>
      </c>
      <c r="B248" s="2"/>
      <c r="C248" s="2"/>
      <c r="E248" s="2"/>
      <c r="G248" s="2"/>
      <c r="H248" s="11"/>
    </row>
    <row r="249" spans="1:8" ht="24">
      <c r="A249" s="2"/>
      <c r="C249" s="12" t="s">
        <v>718</v>
      </c>
      <c r="E249" s="12" t="s">
        <v>719</v>
      </c>
      <c r="F249" s="65"/>
      <c r="G249" s="12" t="s">
        <v>720</v>
      </c>
      <c r="H249" s="11"/>
    </row>
    <row r="250" spans="1:8" ht="12.75">
      <c r="A250" s="52" t="s">
        <v>789</v>
      </c>
      <c r="C250" s="66">
        <f t="shared" ref="C250:C260" si="14">E250+G250</f>
        <v>0</v>
      </c>
      <c r="E250" s="678"/>
      <c r="F250" s="7"/>
      <c r="G250" s="678"/>
      <c r="H250" s="11"/>
    </row>
    <row r="251" spans="1:8" ht="12.75">
      <c r="A251" s="52" t="s">
        <v>790</v>
      </c>
      <c r="C251" s="27">
        <f t="shared" si="14"/>
        <v>0</v>
      </c>
      <c r="E251" s="669"/>
      <c r="F251" s="7"/>
      <c r="G251" s="669"/>
      <c r="H251" s="11"/>
    </row>
    <row r="252" spans="1:8" ht="12.75">
      <c r="A252" s="52" t="s">
        <v>791</v>
      </c>
      <c r="C252" s="27">
        <f t="shared" si="14"/>
        <v>0</v>
      </c>
      <c r="E252" s="669"/>
      <c r="F252" s="7"/>
      <c r="G252" s="669"/>
      <c r="H252" s="11"/>
    </row>
    <row r="253" spans="1:8" ht="12.75">
      <c r="A253" s="52" t="s">
        <v>792</v>
      </c>
      <c r="C253" s="27">
        <f t="shared" si="14"/>
        <v>0</v>
      </c>
      <c r="E253" s="669"/>
      <c r="F253" s="7"/>
      <c r="G253" s="669"/>
      <c r="H253" s="11"/>
    </row>
    <row r="254" spans="1:8" ht="12.75">
      <c r="A254" s="52" t="s">
        <v>793</v>
      </c>
      <c r="C254" s="27">
        <f t="shared" si="14"/>
        <v>0</v>
      </c>
      <c r="E254" s="669"/>
      <c r="F254" s="7"/>
      <c r="G254" s="669"/>
      <c r="H254" s="11"/>
    </row>
    <row r="255" spans="1:8" ht="12.75">
      <c r="A255" s="52" t="s">
        <v>794</v>
      </c>
      <c r="C255" s="27">
        <f t="shared" si="14"/>
        <v>0</v>
      </c>
      <c r="E255" s="669"/>
      <c r="F255" s="7"/>
      <c r="G255" s="669"/>
      <c r="H255" s="11"/>
    </row>
    <row r="256" spans="1:8" ht="12.75">
      <c r="A256" s="52" t="s">
        <v>795</v>
      </c>
      <c r="C256" s="27">
        <f t="shared" si="14"/>
        <v>0</v>
      </c>
      <c r="E256" s="27">
        <f>E257+E258</f>
        <v>0</v>
      </c>
      <c r="F256" s="7"/>
      <c r="G256" s="27">
        <f>G257+G258</f>
        <v>0</v>
      </c>
      <c r="H256" s="11"/>
    </row>
    <row r="257" spans="1:8" ht="12.75">
      <c r="A257" s="52" t="s">
        <v>796</v>
      </c>
      <c r="C257" s="27">
        <f t="shared" si="14"/>
        <v>0</v>
      </c>
      <c r="E257" s="669"/>
      <c r="F257" s="7"/>
      <c r="G257" s="669"/>
      <c r="H257" s="11"/>
    </row>
    <row r="258" spans="1:8" ht="12.75">
      <c r="A258" s="52" t="s">
        <v>797</v>
      </c>
      <c r="C258" s="27">
        <f t="shared" si="14"/>
        <v>0</v>
      </c>
      <c r="E258" s="669"/>
      <c r="F258" s="7"/>
      <c r="G258" s="669"/>
      <c r="H258" s="11"/>
    </row>
    <row r="259" spans="1:8" ht="12.75">
      <c r="A259" s="52" t="s">
        <v>798</v>
      </c>
      <c r="C259" s="67">
        <f t="shared" si="14"/>
        <v>0</v>
      </c>
      <c r="E259" s="677"/>
      <c r="F259" s="7"/>
      <c r="G259" s="677"/>
      <c r="H259" s="11"/>
    </row>
    <row r="260" spans="1:8" ht="13.5" thickBot="1">
      <c r="A260" s="68" t="s">
        <v>799</v>
      </c>
      <c r="B260" s="2"/>
      <c r="C260" s="63">
        <f t="shared" si="14"/>
        <v>0</v>
      </c>
      <c r="E260" s="63">
        <f>SUM(E250:E256)+E259</f>
        <v>0</v>
      </c>
      <c r="F260" s="7"/>
      <c r="G260" s="63">
        <f>SUM(G250:G256)+G259</f>
        <v>0</v>
      </c>
      <c r="H260" s="11"/>
    </row>
    <row r="261" spans="1:8" ht="13.5" thickTop="1">
      <c r="A261" s="69"/>
      <c r="B261" s="2"/>
      <c r="C261" s="2"/>
      <c r="D261" s="7"/>
      <c r="E261" s="2"/>
      <c r="G261" s="2"/>
      <c r="H261" s="11"/>
    </row>
    <row r="262" spans="1:8" ht="12.75">
      <c r="A262" s="69"/>
      <c r="B262" s="2"/>
      <c r="C262" s="2"/>
      <c r="D262" s="7"/>
      <c r="E262" s="2"/>
      <c r="G262" s="2"/>
      <c r="H262" s="11"/>
    </row>
    <row r="263" spans="1:8" ht="12.75">
      <c r="A263" s="10" t="s">
        <v>800</v>
      </c>
      <c r="B263" s="2"/>
      <c r="C263" s="2"/>
      <c r="D263" s="7"/>
      <c r="E263" s="2"/>
      <c r="G263" s="2"/>
      <c r="H263" s="11"/>
    </row>
    <row r="264" spans="1:8" ht="24">
      <c r="A264" s="69"/>
      <c r="C264" s="12" t="s">
        <v>718</v>
      </c>
      <c r="D264" s="7"/>
      <c r="E264" s="12" t="s">
        <v>719</v>
      </c>
      <c r="F264" s="70"/>
      <c r="G264" s="12" t="s">
        <v>720</v>
      </c>
      <c r="H264" s="11"/>
    </row>
    <row r="265" spans="1:8" ht="12.75">
      <c r="A265" s="53" t="s">
        <v>801</v>
      </c>
      <c r="C265" s="71">
        <f t="shared" ref="C265:C273" si="15">E265+G265</f>
        <v>0</v>
      </c>
      <c r="D265" s="7"/>
      <c r="E265" s="671"/>
      <c r="G265" s="671"/>
      <c r="H265" s="11"/>
    </row>
    <row r="266" spans="1:8" ht="12.75">
      <c r="A266" s="53" t="s">
        <v>802</v>
      </c>
      <c r="C266" s="27">
        <f t="shared" si="15"/>
        <v>0</v>
      </c>
      <c r="E266" s="27">
        <f>SUM(E267:E271)</f>
        <v>0</v>
      </c>
      <c r="F266" s="7"/>
      <c r="G266" s="27">
        <f>SUM(G267:G271)</f>
        <v>0</v>
      </c>
      <c r="H266" s="11"/>
    </row>
    <row r="267" spans="1:8" ht="12.75">
      <c r="A267" s="56" t="s">
        <v>803</v>
      </c>
      <c r="C267" s="27">
        <f t="shared" si="15"/>
        <v>0</v>
      </c>
      <c r="E267" s="669"/>
      <c r="F267" s="7"/>
      <c r="G267" s="669"/>
      <c r="H267" s="11"/>
    </row>
    <row r="268" spans="1:8" ht="12.75">
      <c r="A268" s="2" t="s">
        <v>804</v>
      </c>
      <c r="C268" s="27">
        <f t="shared" si="15"/>
        <v>0</v>
      </c>
      <c r="E268" s="669"/>
      <c r="F268" s="7"/>
      <c r="G268" s="669"/>
      <c r="H268" s="11"/>
    </row>
    <row r="269" spans="1:8" ht="12.75">
      <c r="A269" s="2" t="s">
        <v>805</v>
      </c>
      <c r="C269" s="27">
        <f t="shared" si="15"/>
        <v>0</v>
      </c>
      <c r="E269" s="669"/>
      <c r="F269" s="7"/>
      <c r="G269" s="669"/>
      <c r="H269" s="11"/>
    </row>
    <row r="270" spans="1:8" ht="12.75">
      <c r="A270" s="2" t="s">
        <v>806</v>
      </c>
      <c r="C270" s="27">
        <f t="shared" si="15"/>
        <v>0</v>
      </c>
      <c r="E270" s="669"/>
      <c r="F270" s="7"/>
      <c r="G270" s="669"/>
      <c r="H270" s="11"/>
    </row>
    <row r="271" spans="1:8" ht="12.75">
      <c r="A271" s="1" t="s">
        <v>807</v>
      </c>
      <c r="C271" s="27">
        <f t="shared" si="15"/>
        <v>0</v>
      </c>
      <c r="E271" s="669"/>
      <c r="F271" s="7"/>
      <c r="G271" s="669"/>
      <c r="H271" s="11"/>
    </row>
    <row r="272" spans="1:8" ht="12.75">
      <c r="A272" s="53" t="s">
        <v>808</v>
      </c>
      <c r="C272" s="67">
        <f t="shared" si="15"/>
        <v>0</v>
      </c>
      <c r="E272" s="677"/>
      <c r="F272" s="7"/>
      <c r="G272" s="677"/>
      <c r="H272" s="11"/>
    </row>
    <row r="273" spans="1:8" ht="13.5" thickBot="1">
      <c r="A273" s="68" t="s">
        <v>809</v>
      </c>
      <c r="C273" s="63">
        <f t="shared" si="15"/>
        <v>0</v>
      </c>
      <c r="E273" s="63">
        <f>E265+E266+E272</f>
        <v>0</v>
      </c>
      <c r="F273" s="7"/>
      <c r="G273" s="63">
        <f>G265+G266+G272</f>
        <v>0</v>
      </c>
      <c r="H273" s="11"/>
    </row>
    <row r="274" spans="1:8" ht="13.5" thickTop="1">
      <c r="A274" s="69"/>
      <c r="B274" s="2"/>
      <c r="C274" s="2"/>
      <c r="D274" s="7"/>
      <c r="E274" s="2"/>
      <c r="G274" s="2"/>
      <c r="H274" s="11"/>
    </row>
    <row r="275" spans="1:8" ht="12.75">
      <c r="A275" s="49"/>
      <c r="B275" s="50"/>
      <c r="D275" s="7"/>
      <c r="E275" s="50"/>
      <c r="F275" s="50"/>
      <c r="G275" s="50"/>
      <c r="H275" s="11"/>
    </row>
    <row r="276" spans="1:8" ht="12.75">
      <c r="A276" s="10" t="s">
        <v>810</v>
      </c>
      <c r="D276" s="7"/>
      <c r="E276" s="2"/>
      <c r="G276" s="2"/>
      <c r="H276" s="73"/>
    </row>
    <row r="277" spans="1:8" ht="24">
      <c r="A277" s="1"/>
      <c r="C277" s="12" t="s">
        <v>718</v>
      </c>
      <c r="D277" s="7"/>
      <c r="E277" s="12" t="s">
        <v>719</v>
      </c>
      <c r="F277" s="13"/>
      <c r="G277" s="12" t="s">
        <v>720</v>
      </c>
      <c r="H277" s="11"/>
    </row>
    <row r="278" spans="1:8" ht="12.75">
      <c r="A278" s="52" t="s">
        <v>811</v>
      </c>
      <c r="C278" s="71">
        <f t="shared" ref="C278:C299" si="16">E278+G278</f>
        <v>0</v>
      </c>
      <c r="D278" s="7"/>
      <c r="E278" s="71">
        <f>SUM(E279:E281)</f>
        <v>0</v>
      </c>
      <c r="G278" s="71">
        <f>SUM(G279:G281)</f>
        <v>0</v>
      </c>
      <c r="H278" s="11"/>
    </row>
    <row r="279" spans="1:8" ht="12.75">
      <c r="A279" s="52" t="s">
        <v>812</v>
      </c>
      <c r="C279" s="27">
        <f t="shared" si="16"/>
        <v>0</v>
      </c>
      <c r="E279" s="669"/>
      <c r="F279" s="7"/>
      <c r="G279" s="669"/>
      <c r="H279" s="11"/>
    </row>
    <row r="280" spans="1:8" ht="12.75">
      <c r="A280" s="52" t="s">
        <v>813</v>
      </c>
      <c r="C280" s="27">
        <f t="shared" si="16"/>
        <v>0</v>
      </c>
      <c r="E280" s="669"/>
      <c r="F280" s="7"/>
      <c r="G280" s="669"/>
      <c r="H280" s="11"/>
    </row>
    <row r="281" spans="1:8" ht="12.75">
      <c r="A281" s="52" t="s">
        <v>814</v>
      </c>
      <c r="C281" s="27">
        <f t="shared" si="16"/>
        <v>0</v>
      </c>
      <c r="E281" s="669"/>
      <c r="F281" s="7"/>
      <c r="G281" s="669"/>
      <c r="H281" s="11"/>
    </row>
    <row r="282" spans="1:8" ht="12.75">
      <c r="A282" s="52" t="s">
        <v>815</v>
      </c>
      <c r="C282" s="27">
        <f t="shared" si="16"/>
        <v>0</v>
      </c>
      <c r="E282" s="669"/>
      <c r="F282" s="7"/>
      <c r="G282" s="669"/>
      <c r="H282" s="11"/>
    </row>
    <row r="283" spans="1:8" ht="12.75">
      <c r="A283" s="52" t="s">
        <v>816</v>
      </c>
      <c r="C283" s="27">
        <f t="shared" si="16"/>
        <v>0</v>
      </c>
      <c r="E283" s="669"/>
      <c r="F283" s="7"/>
      <c r="G283" s="669"/>
      <c r="H283" s="11"/>
    </row>
    <row r="284" spans="1:8" ht="12.75">
      <c r="A284" s="52" t="s">
        <v>817</v>
      </c>
      <c r="C284" s="27">
        <f t="shared" si="16"/>
        <v>0</v>
      </c>
      <c r="E284" s="669"/>
      <c r="F284" s="7"/>
      <c r="G284" s="669"/>
      <c r="H284" s="11"/>
    </row>
    <row r="285" spans="1:8" ht="12.75">
      <c r="A285" s="52" t="s">
        <v>818</v>
      </c>
      <c r="C285" s="27">
        <f t="shared" si="16"/>
        <v>0</v>
      </c>
      <c r="E285" s="669"/>
      <c r="F285" s="7"/>
      <c r="G285" s="669"/>
      <c r="H285" s="11"/>
    </row>
    <row r="286" spans="1:8" ht="12.75">
      <c r="A286" s="52" t="s">
        <v>819</v>
      </c>
      <c r="C286" s="27">
        <f t="shared" si="16"/>
        <v>0</v>
      </c>
      <c r="E286" s="669"/>
      <c r="F286" s="7"/>
      <c r="G286" s="669"/>
      <c r="H286" s="11"/>
    </row>
    <row r="287" spans="1:8" ht="12.75">
      <c r="A287" s="52" t="s">
        <v>820</v>
      </c>
      <c r="C287" s="27">
        <f t="shared" si="16"/>
        <v>0</v>
      </c>
      <c r="E287" s="669"/>
      <c r="F287" s="7"/>
      <c r="G287" s="669"/>
      <c r="H287" s="11"/>
    </row>
    <row r="288" spans="1:8" ht="12.75">
      <c r="A288" s="52" t="s">
        <v>821</v>
      </c>
      <c r="C288" s="27">
        <f t="shared" si="16"/>
        <v>0</v>
      </c>
      <c r="E288" s="27">
        <f>SUM(E289:E298)</f>
        <v>0</v>
      </c>
      <c r="F288" s="7"/>
      <c r="G288" s="27">
        <f>SUM(G289:G298)</f>
        <v>0</v>
      </c>
      <c r="H288" s="11"/>
    </row>
    <row r="289" spans="1:8" ht="12.75">
      <c r="A289" s="675"/>
      <c r="C289" s="27">
        <f t="shared" si="16"/>
        <v>0</v>
      </c>
      <c r="E289" s="671"/>
      <c r="F289" s="74"/>
      <c r="G289" s="671"/>
      <c r="H289" s="11"/>
    </row>
    <row r="290" spans="1:8" ht="12.75">
      <c r="A290" s="675"/>
      <c r="C290" s="27">
        <f t="shared" si="16"/>
        <v>0</v>
      </c>
      <c r="E290" s="671"/>
      <c r="F290" s="74"/>
      <c r="G290" s="671"/>
      <c r="H290" s="11"/>
    </row>
    <row r="291" spans="1:8" ht="12.75">
      <c r="A291" s="675"/>
      <c r="C291" s="27">
        <f t="shared" si="16"/>
        <v>0</v>
      </c>
      <c r="E291" s="671"/>
      <c r="F291" s="74"/>
      <c r="G291" s="671"/>
      <c r="H291" s="11"/>
    </row>
    <row r="292" spans="1:8" ht="12.75">
      <c r="A292" s="675"/>
      <c r="C292" s="27">
        <f t="shared" si="16"/>
        <v>0</v>
      </c>
      <c r="E292" s="671"/>
      <c r="F292" s="74"/>
      <c r="G292" s="671"/>
      <c r="H292" s="11"/>
    </row>
    <row r="293" spans="1:8" ht="12.75">
      <c r="A293" s="675"/>
      <c r="C293" s="27">
        <f t="shared" si="16"/>
        <v>0</v>
      </c>
      <c r="E293" s="671"/>
      <c r="F293" s="74"/>
      <c r="G293" s="671"/>
      <c r="H293" s="11"/>
    </row>
    <row r="294" spans="1:8" ht="12.75">
      <c r="A294" s="675"/>
      <c r="C294" s="27">
        <f t="shared" si="16"/>
        <v>0</v>
      </c>
      <c r="E294" s="671"/>
      <c r="F294" s="74"/>
      <c r="G294" s="671"/>
      <c r="H294" s="11"/>
    </row>
    <row r="295" spans="1:8" ht="12.75">
      <c r="A295" s="675"/>
      <c r="C295" s="27">
        <f t="shared" si="16"/>
        <v>0</v>
      </c>
      <c r="E295" s="671"/>
      <c r="F295" s="74"/>
      <c r="G295" s="671"/>
      <c r="H295" s="11"/>
    </row>
    <row r="296" spans="1:8" ht="12.75">
      <c r="A296" s="675"/>
      <c r="C296" s="27">
        <f t="shared" si="16"/>
        <v>0</v>
      </c>
      <c r="E296" s="671"/>
      <c r="F296" s="74"/>
      <c r="G296" s="671"/>
      <c r="H296" s="11"/>
    </row>
    <row r="297" spans="1:8" ht="12.75">
      <c r="A297" s="675"/>
      <c r="C297" s="27">
        <f t="shared" si="16"/>
        <v>0</v>
      </c>
      <c r="E297" s="671"/>
      <c r="F297" s="74"/>
      <c r="G297" s="671"/>
      <c r="H297" s="11"/>
    </row>
    <row r="298" spans="1:8" ht="12.75">
      <c r="A298" s="675"/>
      <c r="C298" s="67">
        <f t="shared" si="16"/>
        <v>0</v>
      </c>
      <c r="E298" s="676"/>
      <c r="F298" s="74"/>
      <c r="G298" s="676"/>
      <c r="H298" s="11"/>
    </row>
    <row r="299" spans="1:8" ht="13.5" thickBot="1">
      <c r="A299" s="68" t="s">
        <v>822</v>
      </c>
      <c r="C299" s="63">
        <f t="shared" si="16"/>
        <v>0</v>
      </c>
      <c r="E299" s="63">
        <f>E278+SUM(E282:E288)</f>
        <v>0</v>
      </c>
      <c r="F299" s="74"/>
      <c r="G299" s="63">
        <f>G278+SUM(G282:G288)</f>
        <v>0</v>
      </c>
      <c r="H299" s="11"/>
    </row>
    <row r="300" spans="1:8" ht="13.5" thickTop="1">
      <c r="A300" s="68"/>
      <c r="C300" s="74"/>
      <c r="D300" s="24"/>
      <c r="E300" s="7"/>
      <c r="F300" s="7"/>
      <c r="G300" s="7"/>
      <c r="H300" s="11"/>
    </row>
    <row r="301" spans="1:8" ht="12.75">
      <c r="A301" s="68"/>
      <c r="C301" s="74"/>
      <c r="D301" s="24"/>
      <c r="E301" s="7"/>
      <c r="F301" s="7"/>
      <c r="G301" s="7"/>
      <c r="H301" s="11"/>
    </row>
    <row r="302" spans="1:8">
      <c r="A302" s="10" t="s">
        <v>1022</v>
      </c>
      <c r="B302" s="2"/>
      <c r="C302" s="2"/>
      <c r="D302" s="75"/>
      <c r="E302" s="2"/>
      <c r="G302" s="2"/>
    </row>
    <row r="303" spans="1:8" ht="24">
      <c r="A303" s="49" t="s">
        <v>823</v>
      </c>
      <c r="B303" s="58" t="s">
        <v>787</v>
      </c>
      <c r="C303" s="12" t="s">
        <v>718</v>
      </c>
      <c r="D303" s="7"/>
      <c r="E303" s="12" t="s">
        <v>719</v>
      </c>
      <c r="F303" s="13"/>
      <c r="G303" s="12" t="s">
        <v>720</v>
      </c>
    </row>
    <row r="304" spans="1:8">
      <c r="A304" s="763" t="s">
        <v>1056</v>
      </c>
      <c r="B304" s="671"/>
      <c r="C304" s="16">
        <f t="shared" ref="C304:C319" si="17">E304+G304</f>
        <v>0</v>
      </c>
      <c r="D304" s="7"/>
      <c r="E304" s="669"/>
      <c r="F304" s="7"/>
      <c r="G304" s="669"/>
    </row>
    <row r="305" spans="1:7">
      <c r="A305" s="763" t="s">
        <v>1057</v>
      </c>
      <c r="B305" s="671"/>
      <c r="C305" s="16">
        <f t="shared" si="17"/>
        <v>0</v>
      </c>
      <c r="E305" s="669"/>
      <c r="F305" s="7"/>
      <c r="G305" s="669"/>
    </row>
    <row r="306" spans="1:7">
      <c r="A306" s="763" t="s">
        <v>1058</v>
      </c>
      <c r="B306" s="671"/>
      <c r="C306" s="16">
        <f t="shared" si="17"/>
        <v>0</v>
      </c>
      <c r="E306" s="669"/>
      <c r="F306" s="7"/>
      <c r="G306" s="669"/>
    </row>
    <row r="307" spans="1:7">
      <c r="A307" s="763" t="s">
        <v>1185</v>
      </c>
      <c r="B307" s="671"/>
      <c r="C307" s="16">
        <f t="shared" si="17"/>
        <v>0</v>
      </c>
      <c r="E307" s="669"/>
      <c r="F307" s="7"/>
      <c r="G307" s="669"/>
    </row>
    <row r="308" spans="1:7">
      <c r="A308" s="763" t="s">
        <v>1186</v>
      </c>
      <c r="B308" s="671"/>
      <c r="C308" s="16">
        <f t="shared" si="17"/>
        <v>0</v>
      </c>
      <c r="E308" s="669"/>
      <c r="F308" s="7"/>
      <c r="G308" s="669"/>
    </row>
    <row r="309" spans="1:7">
      <c r="A309" s="774" t="s">
        <v>1059</v>
      </c>
      <c r="B309" s="671"/>
      <c r="C309" s="16">
        <f t="shared" si="17"/>
        <v>0</v>
      </c>
      <c r="E309" s="669"/>
      <c r="F309" s="7"/>
      <c r="G309" s="669"/>
    </row>
    <row r="310" spans="1:7" ht="12" customHeight="1">
      <c r="A310" s="763" t="s">
        <v>1060</v>
      </c>
      <c r="B310" s="669"/>
      <c r="C310" s="20">
        <f t="shared" si="17"/>
        <v>0</v>
      </c>
      <c r="E310" s="669"/>
      <c r="F310" s="7"/>
      <c r="G310" s="669"/>
    </row>
    <row r="311" spans="1:7" ht="12" customHeight="1">
      <c r="A311" s="774" t="s">
        <v>1061</v>
      </c>
      <c r="B311" s="669"/>
      <c r="C311" s="20">
        <f t="shared" si="17"/>
        <v>0</v>
      </c>
      <c r="E311" s="669"/>
      <c r="F311" s="7"/>
      <c r="G311" s="669"/>
    </row>
    <row r="312" spans="1:7" ht="12" customHeight="1">
      <c r="A312" s="774" t="s">
        <v>1062</v>
      </c>
      <c r="B312" s="669"/>
      <c r="C312" s="20">
        <f t="shared" si="17"/>
        <v>0</v>
      </c>
      <c r="E312" s="669"/>
      <c r="F312" s="7"/>
      <c r="G312" s="669"/>
    </row>
    <row r="313" spans="1:7" ht="12" customHeight="1">
      <c r="A313" s="774" t="s">
        <v>1063</v>
      </c>
      <c r="B313" s="669"/>
      <c r="C313" s="20">
        <f t="shared" si="17"/>
        <v>0</v>
      </c>
      <c r="E313" s="669"/>
      <c r="F313" s="7"/>
      <c r="G313" s="669"/>
    </row>
    <row r="314" spans="1:7" ht="12" customHeight="1">
      <c r="A314" s="774" t="s">
        <v>1064</v>
      </c>
      <c r="B314" s="669"/>
      <c r="C314" s="20">
        <f t="shared" si="17"/>
        <v>0</v>
      </c>
      <c r="E314" s="669"/>
      <c r="F314" s="7"/>
      <c r="G314" s="669"/>
    </row>
    <row r="315" spans="1:7" ht="12" customHeight="1">
      <c r="A315" s="774" t="s">
        <v>1065</v>
      </c>
      <c r="B315" s="669"/>
      <c r="C315" s="20">
        <f t="shared" si="17"/>
        <v>0</v>
      </c>
      <c r="E315" s="669"/>
      <c r="F315" s="7"/>
      <c r="G315" s="669"/>
    </row>
    <row r="316" spans="1:7" ht="12" customHeight="1">
      <c r="A316" s="774" t="s">
        <v>1066</v>
      </c>
      <c r="B316" s="669"/>
      <c r="C316" s="20">
        <f t="shared" si="17"/>
        <v>0</v>
      </c>
      <c r="E316" s="669"/>
      <c r="F316" s="7"/>
      <c r="G316" s="669"/>
    </row>
    <row r="317" spans="1:7" ht="12" customHeight="1">
      <c r="A317" s="774" t="s">
        <v>1067</v>
      </c>
      <c r="B317" s="669"/>
      <c r="C317" s="20">
        <f t="shared" si="17"/>
        <v>0</v>
      </c>
      <c r="E317" s="669"/>
      <c r="F317" s="7"/>
      <c r="G317" s="669"/>
    </row>
    <row r="318" spans="1:7" ht="12" customHeight="1">
      <c r="A318" s="774" t="s">
        <v>1068</v>
      </c>
      <c r="B318" s="669"/>
      <c r="C318" s="20">
        <f t="shared" si="17"/>
        <v>0</v>
      </c>
      <c r="E318" s="669"/>
      <c r="F318" s="7"/>
      <c r="G318" s="669"/>
    </row>
    <row r="319" spans="1:7" ht="12.75" thickBot="1">
      <c r="A319" s="49" t="s">
        <v>1023</v>
      </c>
      <c r="B319" s="63">
        <f>SUM(B304:B309)+SUM(B310:B318)</f>
        <v>0</v>
      </c>
      <c r="C319" s="23">
        <f t="shared" si="17"/>
        <v>0</v>
      </c>
      <c r="E319" s="63">
        <f>SUM(E304:E309)+SUM(E310:E318)</f>
        <v>0</v>
      </c>
      <c r="F319" s="7"/>
      <c r="G319" s="63">
        <f>SUM(G304:G309)+SUM(G310:G318)</f>
        <v>0</v>
      </c>
    </row>
    <row r="320" spans="1:7" ht="13.5" thickTop="1">
      <c r="A320" s="24"/>
      <c r="B320" s="686"/>
      <c r="C320" s="79"/>
      <c r="D320" s="74"/>
      <c r="E320" s="79"/>
      <c r="F320" s="79"/>
      <c r="G320" s="79"/>
    </row>
    <row r="321" spans="1:8" ht="24">
      <c r="A321" s="49" t="s">
        <v>1234</v>
      </c>
      <c r="B321" s="58" t="s">
        <v>787</v>
      </c>
      <c r="C321" s="12" t="s">
        <v>718</v>
      </c>
      <c r="D321" s="7"/>
      <c r="E321" s="12" t="s">
        <v>719</v>
      </c>
      <c r="F321" s="13"/>
      <c r="G321" s="12" t="s">
        <v>720</v>
      </c>
    </row>
    <row r="322" spans="1:8">
      <c r="A322" s="61" t="s">
        <v>1024</v>
      </c>
      <c r="B322" s="671"/>
      <c r="C322" s="26">
        <f t="shared" ref="C322:C329" si="18">E322+G322</f>
        <v>0</v>
      </c>
      <c r="D322" s="7"/>
      <c r="E322" s="671"/>
      <c r="F322" s="7"/>
      <c r="G322" s="671"/>
    </row>
    <row r="323" spans="1:8">
      <c r="A323" s="61" t="s">
        <v>1025</v>
      </c>
      <c r="B323" s="671"/>
      <c r="C323" s="26">
        <f t="shared" si="18"/>
        <v>0</v>
      </c>
      <c r="D323" s="7"/>
      <c r="E323" s="671"/>
      <c r="F323" s="7"/>
      <c r="G323" s="671"/>
    </row>
    <row r="324" spans="1:8" ht="12.75">
      <c r="A324" s="61" t="s">
        <v>1069</v>
      </c>
      <c r="B324" s="671"/>
      <c r="C324" s="26">
        <f t="shared" si="18"/>
        <v>0</v>
      </c>
      <c r="D324" s="7"/>
      <c r="E324" s="671"/>
      <c r="F324" s="7"/>
      <c r="G324" s="671"/>
      <c r="H324" s="11"/>
    </row>
    <row r="325" spans="1:8">
      <c r="A325" s="61" t="s">
        <v>1070</v>
      </c>
      <c r="B325" s="671"/>
      <c r="C325" s="26">
        <f t="shared" si="18"/>
        <v>0</v>
      </c>
      <c r="D325" s="7"/>
      <c r="E325" s="671"/>
      <c r="F325" s="7"/>
      <c r="G325" s="671"/>
    </row>
    <row r="326" spans="1:8">
      <c r="A326" s="773" t="s">
        <v>1071</v>
      </c>
      <c r="B326" s="671"/>
      <c r="C326" s="26">
        <f t="shared" si="18"/>
        <v>0</v>
      </c>
      <c r="D326" s="7"/>
      <c r="E326" s="671"/>
      <c r="F326" s="7"/>
      <c r="G326" s="671"/>
    </row>
    <row r="327" spans="1:8">
      <c r="A327" s="61" t="s">
        <v>1072</v>
      </c>
      <c r="B327" s="671"/>
      <c r="C327" s="26">
        <f t="shared" si="18"/>
        <v>0</v>
      </c>
      <c r="D327" s="7"/>
      <c r="E327" s="671"/>
      <c r="F327" s="7"/>
      <c r="G327" s="671"/>
    </row>
    <row r="328" spans="1:8" s="2" customFormat="1">
      <c r="A328" s="61" t="s">
        <v>1073</v>
      </c>
      <c r="B328" s="676"/>
      <c r="C328" s="38">
        <f t="shared" si="18"/>
        <v>0</v>
      </c>
      <c r="D328" s="7"/>
      <c r="E328" s="676"/>
      <c r="F328" s="7"/>
      <c r="G328" s="676"/>
    </row>
    <row r="329" spans="1:8">
      <c r="A329" s="49" t="s">
        <v>1239</v>
      </c>
      <c r="B329" s="59">
        <f>SUM(B322:B328)</f>
        <v>0</v>
      </c>
      <c r="C329" s="60">
        <f t="shared" si="18"/>
        <v>0</v>
      </c>
      <c r="D329" s="7"/>
      <c r="E329" s="59">
        <f>SUM(E322:E328)</f>
        <v>0</v>
      </c>
      <c r="F329" s="7"/>
      <c r="G329" s="59">
        <f>SUM(G322:G328)</f>
        <v>0</v>
      </c>
    </row>
    <row r="330" spans="1:8">
      <c r="A330" s="61"/>
      <c r="C330" s="62"/>
      <c r="D330" s="7"/>
      <c r="E330" s="62"/>
      <c r="F330" s="7"/>
      <c r="G330" s="62"/>
    </row>
    <row r="331" spans="1:8" ht="12.75" thickBot="1">
      <c r="A331" s="49" t="s">
        <v>1026</v>
      </c>
      <c r="B331" s="23">
        <f>B319+B329</f>
        <v>0</v>
      </c>
      <c r="C331" s="23">
        <f>C319+C329</f>
        <v>0</v>
      </c>
      <c r="D331" s="7"/>
      <c r="E331" s="23">
        <f>E319+E329</f>
        <v>0</v>
      </c>
      <c r="F331" s="7"/>
      <c r="G331" s="23">
        <f>G319+G329</f>
        <v>0</v>
      </c>
    </row>
    <row r="332" spans="1:8" ht="12.75" thickTop="1">
      <c r="A332" s="49"/>
      <c r="B332" s="76"/>
      <c r="C332" s="77"/>
      <c r="D332" s="7"/>
      <c r="E332" s="77"/>
      <c r="F332" s="76"/>
      <c r="G332" s="77"/>
    </row>
    <row r="333" spans="1:8" ht="24">
      <c r="A333" s="57" t="s">
        <v>1027</v>
      </c>
      <c r="B333" s="58" t="s">
        <v>787</v>
      </c>
      <c r="C333" s="12" t="s">
        <v>718</v>
      </c>
      <c r="D333" s="7"/>
      <c r="E333" s="12" t="s">
        <v>719</v>
      </c>
      <c r="F333" s="13"/>
      <c r="G333" s="12" t="s">
        <v>720</v>
      </c>
    </row>
    <row r="334" spans="1:8">
      <c r="A334" s="78" t="s">
        <v>1028</v>
      </c>
      <c r="B334" s="671"/>
      <c r="C334" s="26">
        <f t="shared" ref="C334:C345" si="19">E334+G334</f>
        <v>0</v>
      </c>
      <c r="D334" s="7"/>
      <c r="E334" s="671"/>
      <c r="F334" s="38"/>
      <c r="G334" s="671"/>
    </row>
    <row r="335" spans="1:8">
      <c r="A335" s="78" t="s">
        <v>1029</v>
      </c>
      <c r="B335" s="671"/>
      <c r="C335" s="26">
        <f t="shared" si="19"/>
        <v>0</v>
      </c>
      <c r="D335" s="7"/>
      <c r="E335" s="671"/>
      <c r="F335" s="38"/>
      <c r="G335" s="671"/>
    </row>
    <row r="336" spans="1:8">
      <c r="A336" s="78" t="s">
        <v>1030</v>
      </c>
      <c r="B336" s="671"/>
      <c r="C336" s="26">
        <f t="shared" si="19"/>
        <v>0</v>
      </c>
      <c r="D336" s="7"/>
      <c r="E336" s="671"/>
      <c r="F336" s="38"/>
      <c r="G336" s="671"/>
    </row>
    <row r="337" spans="1:7">
      <c r="A337" s="78" t="s">
        <v>1031</v>
      </c>
      <c r="B337" s="671"/>
      <c r="C337" s="26">
        <f t="shared" si="19"/>
        <v>0</v>
      </c>
      <c r="D337" s="7"/>
      <c r="E337" s="671"/>
      <c r="F337" s="38"/>
      <c r="G337" s="671"/>
    </row>
    <row r="338" spans="1:7">
      <c r="A338" s="78" t="s">
        <v>1032</v>
      </c>
      <c r="B338" s="669"/>
      <c r="C338" s="26">
        <f t="shared" si="19"/>
        <v>0</v>
      </c>
      <c r="D338" s="7"/>
      <c r="E338" s="671"/>
      <c r="F338" s="38"/>
      <c r="G338" s="671"/>
    </row>
    <row r="339" spans="1:7">
      <c r="A339" s="78" t="s">
        <v>1033</v>
      </c>
      <c r="B339" s="669"/>
      <c r="C339" s="38">
        <f t="shared" si="19"/>
        <v>0</v>
      </c>
      <c r="D339" s="7"/>
      <c r="E339" s="669"/>
      <c r="F339" s="38"/>
      <c r="G339" s="669"/>
    </row>
    <row r="340" spans="1:7">
      <c r="A340" s="78" t="s">
        <v>1034</v>
      </c>
      <c r="B340" s="669"/>
      <c r="C340" s="38">
        <f t="shared" si="19"/>
        <v>0</v>
      </c>
      <c r="D340" s="7"/>
      <c r="E340" s="669"/>
      <c r="F340" s="38"/>
      <c r="G340" s="669"/>
    </row>
    <row r="341" spans="1:7">
      <c r="A341" s="78" t="s">
        <v>1035</v>
      </c>
      <c r="B341" s="669"/>
      <c r="C341" s="38">
        <f t="shared" si="19"/>
        <v>0</v>
      </c>
      <c r="D341" s="7"/>
      <c r="E341" s="669"/>
      <c r="F341" s="38"/>
      <c r="G341" s="669"/>
    </row>
    <row r="342" spans="1:7">
      <c r="A342" s="78" t="s">
        <v>1036</v>
      </c>
      <c r="B342" s="669"/>
      <c r="C342" s="38">
        <f t="shared" si="19"/>
        <v>0</v>
      </c>
      <c r="D342" s="7"/>
      <c r="E342" s="669"/>
      <c r="F342" s="38"/>
      <c r="G342" s="669"/>
    </row>
    <row r="343" spans="1:7">
      <c r="A343" s="78" t="s">
        <v>1037</v>
      </c>
      <c r="B343" s="669"/>
      <c r="C343" s="38">
        <f t="shared" si="19"/>
        <v>0</v>
      </c>
      <c r="D343" s="7"/>
      <c r="E343" s="669"/>
      <c r="F343" s="38"/>
      <c r="G343" s="669"/>
    </row>
    <row r="344" spans="1:7">
      <c r="A344" s="78" t="s">
        <v>1038</v>
      </c>
      <c r="B344" s="676"/>
      <c r="C344" s="38">
        <f t="shared" si="19"/>
        <v>0</v>
      </c>
      <c r="D344" s="7"/>
      <c r="E344" s="676"/>
      <c r="F344" s="38"/>
      <c r="G344" s="676"/>
    </row>
    <row r="345" spans="1:7" ht="12.75" thickBot="1">
      <c r="A345" s="68" t="s">
        <v>1039</v>
      </c>
      <c r="B345" s="63">
        <f>SUM(B334:B344)</f>
        <v>0</v>
      </c>
      <c r="C345" s="23">
        <f t="shared" si="19"/>
        <v>0</v>
      </c>
      <c r="D345" s="7"/>
      <c r="E345" s="63">
        <f>SUM(E334:E344)</f>
        <v>0</v>
      </c>
      <c r="F345" s="38"/>
      <c r="G345" s="63">
        <f>SUM(G334:G344)</f>
        <v>0</v>
      </c>
    </row>
    <row r="346" spans="1:7" ht="13.5" thickTop="1">
      <c r="A346" s="47"/>
      <c r="B346" s="50"/>
      <c r="D346" s="45"/>
      <c r="E346" s="50"/>
      <c r="F346" s="50"/>
      <c r="G346" s="48"/>
    </row>
    <row r="347" spans="1:7" ht="12.75">
      <c r="A347" s="10" t="s">
        <v>824</v>
      </c>
      <c r="B347" s="2"/>
      <c r="C347" s="13" t="s">
        <v>825</v>
      </c>
      <c r="D347" s="45"/>
    </row>
    <row r="348" spans="1:7" ht="24">
      <c r="C348" s="12" t="s">
        <v>718</v>
      </c>
      <c r="D348" s="38"/>
      <c r="E348" s="12" t="s">
        <v>719</v>
      </c>
      <c r="F348" s="13"/>
      <c r="G348" s="12" t="s">
        <v>720</v>
      </c>
    </row>
    <row r="349" spans="1:7" ht="12.75">
      <c r="A349" s="51" t="s">
        <v>711</v>
      </c>
      <c r="C349" s="71">
        <f>E349+G349</f>
        <v>0</v>
      </c>
      <c r="D349" s="45"/>
      <c r="E349" s="671"/>
      <c r="F349" s="38"/>
      <c r="G349" s="671"/>
    </row>
    <row r="350" spans="1:7" ht="12.75">
      <c r="A350" s="52" t="s">
        <v>221</v>
      </c>
      <c r="C350" s="27">
        <f>E350+G350</f>
        <v>0</v>
      </c>
      <c r="D350" s="45"/>
      <c r="E350" s="671"/>
      <c r="F350" s="38"/>
      <c r="G350" s="671"/>
    </row>
    <row r="351" spans="1:7" ht="12.75">
      <c r="A351" s="52" t="s">
        <v>222</v>
      </c>
      <c r="C351" s="67">
        <f>E351+G351</f>
        <v>0</v>
      </c>
      <c r="D351" s="45"/>
      <c r="E351" s="676"/>
      <c r="F351" s="38"/>
      <c r="G351" s="676"/>
    </row>
    <row r="352" spans="1:7" ht="13.5" thickBot="1">
      <c r="A352" s="68" t="s">
        <v>826</v>
      </c>
      <c r="C352" s="63">
        <f>E352+G352</f>
        <v>0</v>
      </c>
      <c r="D352" s="45"/>
      <c r="E352" s="63">
        <f>SUM(E349:E351)</f>
        <v>0</v>
      </c>
      <c r="F352" s="38"/>
      <c r="G352" s="63">
        <f>SUM(G349:G351)</f>
        <v>0</v>
      </c>
    </row>
    <row r="353" spans="1:8" ht="12.75" thickTop="1">
      <c r="A353" s="4"/>
      <c r="C353" s="74"/>
      <c r="D353" s="7"/>
      <c r="E353" s="7"/>
      <c r="F353" s="7"/>
      <c r="G353" s="7"/>
    </row>
    <row r="354" spans="1:8" ht="12.75">
      <c r="A354" s="10" t="s">
        <v>827</v>
      </c>
      <c r="D354" s="7"/>
      <c r="E354" s="11"/>
      <c r="F354" s="24"/>
      <c r="G354" s="11"/>
      <c r="H354" s="11"/>
    </row>
    <row r="355" spans="1:8" ht="24">
      <c r="A355" s="36"/>
      <c r="C355" s="12" t="s">
        <v>718</v>
      </c>
      <c r="D355" s="7"/>
      <c r="E355" s="12" t="s">
        <v>719</v>
      </c>
      <c r="F355" s="70"/>
      <c r="G355" s="12" t="s">
        <v>720</v>
      </c>
      <c r="H355" s="11"/>
    </row>
    <row r="356" spans="1:8" ht="12.75">
      <c r="A356" s="52" t="s">
        <v>828</v>
      </c>
      <c r="C356" s="38">
        <f t="shared" ref="C356:C361" si="20">E356+G356</f>
        <v>0</v>
      </c>
      <c r="D356" s="7"/>
      <c r="E356" s="679"/>
      <c r="F356" s="7"/>
      <c r="G356" s="679"/>
      <c r="H356" s="11"/>
    </row>
    <row r="357" spans="1:8" ht="12.75">
      <c r="A357" s="52" t="s">
        <v>829</v>
      </c>
      <c r="C357" s="26">
        <f t="shared" si="20"/>
        <v>0</v>
      </c>
      <c r="D357" s="7"/>
      <c r="E357" s="669"/>
      <c r="F357" s="7"/>
      <c r="G357" s="669"/>
      <c r="H357" s="11"/>
    </row>
    <row r="358" spans="1:8" ht="12.75">
      <c r="A358" s="52" t="s">
        <v>830</v>
      </c>
      <c r="C358" s="26">
        <f t="shared" si="20"/>
        <v>0</v>
      </c>
      <c r="D358" s="7"/>
      <c r="E358" s="669"/>
      <c r="F358" s="7"/>
      <c r="G358" s="669"/>
      <c r="H358" s="11"/>
    </row>
    <row r="359" spans="1:8" ht="12.75">
      <c r="A359" s="2" t="s">
        <v>831</v>
      </c>
      <c r="C359" s="26">
        <f t="shared" si="20"/>
        <v>0</v>
      </c>
      <c r="D359" s="13"/>
      <c r="E359" s="669"/>
      <c r="F359" s="7"/>
      <c r="G359" s="669"/>
      <c r="H359" s="11"/>
    </row>
    <row r="360" spans="1:8" ht="12.75">
      <c r="A360" s="2" t="s">
        <v>832</v>
      </c>
      <c r="C360" s="38">
        <f t="shared" si="20"/>
        <v>0</v>
      </c>
      <c r="D360" s="38"/>
      <c r="E360" s="677"/>
      <c r="F360" s="7"/>
      <c r="G360" s="677"/>
      <c r="H360" s="11"/>
    </row>
    <row r="361" spans="1:8" ht="13.5" thickBot="1">
      <c r="A361" s="68" t="s">
        <v>833</v>
      </c>
      <c r="C361" s="23">
        <f t="shared" si="20"/>
        <v>0</v>
      </c>
      <c r="D361" s="7"/>
      <c r="E361" s="63">
        <f>SUM(E356:E360)</f>
        <v>0</v>
      </c>
      <c r="F361" s="7"/>
      <c r="G361" s="63">
        <f>SUM(G356:G360)</f>
        <v>0</v>
      </c>
      <c r="H361" s="11"/>
    </row>
    <row r="362" spans="1:8" ht="13.5" thickTop="1">
      <c r="A362" s="52"/>
      <c r="D362" s="7"/>
      <c r="E362" s="11"/>
      <c r="F362" s="24"/>
      <c r="G362" s="11"/>
      <c r="H362" s="11"/>
    </row>
    <row r="363" spans="1:8" ht="12.75">
      <c r="A363" s="52"/>
      <c r="D363" s="7"/>
      <c r="E363" s="11"/>
      <c r="F363" s="24"/>
      <c r="G363" s="11"/>
      <c r="H363" s="11"/>
    </row>
    <row r="364" spans="1:8">
      <c r="A364" s="10" t="s">
        <v>1041</v>
      </c>
      <c r="B364" s="2"/>
      <c r="C364" s="2"/>
      <c r="D364" s="7"/>
      <c r="E364" s="2"/>
      <c r="G364" s="2"/>
    </row>
    <row r="365" spans="1:8" ht="24">
      <c r="A365" s="49" t="s">
        <v>786</v>
      </c>
      <c r="C365" s="12" t="s">
        <v>718</v>
      </c>
      <c r="E365" s="12" t="s">
        <v>719</v>
      </c>
      <c r="F365" s="13"/>
      <c r="G365" s="12" t="s">
        <v>720</v>
      </c>
      <c r="H365" s="2"/>
    </row>
    <row r="366" spans="1:8">
      <c r="A366" s="763" t="s">
        <v>1074</v>
      </c>
      <c r="C366" s="16">
        <f t="shared" ref="C366:C381" si="21">E366+G366</f>
        <v>0</v>
      </c>
      <c r="D366" s="7"/>
      <c r="E366" s="669"/>
      <c r="F366" s="7"/>
      <c r="G366" s="669"/>
      <c r="H366" s="2"/>
    </row>
    <row r="367" spans="1:8">
      <c r="A367" s="763" t="s">
        <v>1075</v>
      </c>
      <c r="C367" s="16">
        <f t="shared" si="21"/>
        <v>0</v>
      </c>
      <c r="E367" s="669"/>
      <c r="F367" s="7"/>
      <c r="G367" s="669"/>
    </row>
    <row r="368" spans="1:8">
      <c r="A368" s="763" t="s">
        <v>1076</v>
      </c>
      <c r="C368" s="16">
        <f t="shared" si="21"/>
        <v>0</v>
      </c>
      <c r="E368" s="669"/>
      <c r="F368" s="7"/>
      <c r="G368" s="669"/>
    </row>
    <row r="369" spans="1:8">
      <c r="A369" s="763" t="s">
        <v>1187</v>
      </c>
      <c r="C369" s="16">
        <f t="shared" si="21"/>
        <v>0</v>
      </c>
      <c r="E369" s="669"/>
      <c r="F369" s="7"/>
      <c r="G369" s="669"/>
    </row>
    <row r="370" spans="1:8">
      <c r="A370" s="763" t="s">
        <v>1188</v>
      </c>
      <c r="C370" s="16">
        <f t="shared" si="21"/>
        <v>0</v>
      </c>
      <c r="E370" s="669"/>
      <c r="F370" s="7"/>
      <c r="G370" s="669"/>
    </row>
    <row r="371" spans="1:8">
      <c r="A371" s="774" t="s">
        <v>1077</v>
      </c>
      <c r="C371" s="16">
        <f t="shared" si="21"/>
        <v>0</v>
      </c>
      <c r="E371" s="669"/>
      <c r="F371" s="7"/>
      <c r="G371" s="669"/>
    </row>
    <row r="372" spans="1:8" ht="12" customHeight="1">
      <c r="A372" s="763" t="s">
        <v>1078</v>
      </c>
      <c r="B372" s="764"/>
      <c r="C372" s="20">
        <f t="shared" si="21"/>
        <v>0</v>
      </c>
      <c r="E372" s="669"/>
      <c r="F372" s="7"/>
      <c r="G372" s="669"/>
    </row>
    <row r="373" spans="1:8" ht="12" customHeight="1">
      <c r="A373" s="774" t="s">
        <v>1079</v>
      </c>
      <c r="B373" s="764"/>
      <c r="C373" s="20">
        <f t="shared" si="21"/>
        <v>0</v>
      </c>
      <c r="E373" s="669"/>
      <c r="F373" s="7"/>
      <c r="G373" s="669"/>
    </row>
    <row r="374" spans="1:8" ht="12" customHeight="1">
      <c r="A374" s="774" t="s">
        <v>1080</v>
      </c>
      <c r="B374" s="764"/>
      <c r="C374" s="20">
        <f t="shared" si="21"/>
        <v>0</v>
      </c>
      <c r="E374" s="669"/>
      <c r="F374" s="7"/>
      <c r="G374" s="669"/>
    </row>
    <row r="375" spans="1:8" ht="12" customHeight="1">
      <c r="A375" s="774" t="s">
        <v>1081</v>
      </c>
      <c r="B375" s="764"/>
      <c r="C375" s="20">
        <f t="shared" si="21"/>
        <v>0</v>
      </c>
      <c r="E375" s="669"/>
      <c r="F375" s="7"/>
      <c r="G375" s="669"/>
    </row>
    <row r="376" spans="1:8" ht="12" customHeight="1">
      <c r="A376" s="774" t="s">
        <v>1082</v>
      </c>
      <c r="B376" s="764"/>
      <c r="C376" s="20">
        <f t="shared" si="21"/>
        <v>0</v>
      </c>
      <c r="E376" s="669"/>
      <c r="F376" s="7"/>
      <c r="G376" s="669"/>
    </row>
    <row r="377" spans="1:8" ht="12" customHeight="1">
      <c r="A377" s="774" t="s">
        <v>1083</v>
      </c>
      <c r="B377" s="764"/>
      <c r="C377" s="20">
        <f t="shared" si="21"/>
        <v>0</v>
      </c>
      <c r="E377" s="669"/>
      <c r="F377" s="7"/>
      <c r="G377" s="669"/>
    </row>
    <row r="378" spans="1:8" ht="12" customHeight="1">
      <c r="A378" s="774" t="s">
        <v>1084</v>
      </c>
      <c r="B378" s="764"/>
      <c r="C378" s="20">
        <f t="shared" si="21"/>
        <v>0</v>
      </c>
      <c r="E378" s="669"/>
      <c r="F378" s="7"/>
      <c r="G378" s="669"/>
    </row>
    <row r="379" spans="1:8" ht="12" customHeight="1">
      <c r="A379" s="774" t="s">
        <v>1085</v>
      </c>
      <c r="B379" s="764"/>
      <c r="C379" s="20">
        <f t="shared" si="21"/>
        <v>0</v>
      </c>
      <c r="E379" s="669"/>
      <c r="F379" s="7"/>
      <c r="G379" s="669"/>
    </row>
    <row r="380" spans="1:8" ht="12" customHeight="1">
      <c r="A380" s="774" t="s">
        <v>1086</v>
      </c>
      <c r="B380" s="764"/>
      <c r="C380" s="20">
        <f t="shared" si="21"/>
        <v>0</v>
      </c>
      <c r="E380" s="669"/>
      <c r="F380" s="7"/>
      <c r="G380" s="669"/>
    </row>
    <row r="381" spans="1:8" ht="13.5" thickBot="1">
      <c r="A381" s="49" t="s">
        <v>1042</v>
      </c>
      <c r="C381" s="23">
        <f t="shared" si="21"/>
        <v>0</v>
      </c>
      <c r="E381" s="63">
        <f>SUM(E366:E371)+SUM(E372:E380)</f>
        <v>0</v>
      </c>
      <c r="F381" s="7"/>
      <c r="G381" s="63">
        <f>SUM(G366:G371)+SUM(G372:G380)</f>
        <v>0</v>
      </c>
      <c r="H381" s="11"/>
    </row>
    <row r="382" spans="1:8" ht="13.5" thickTop="1">
      <c r="A382" s="49"/>
      <c r="C382" s="2"/>
      <c r="D382" s="7"/>
      <c r="E382" s="2"/>
      <c r="G382" s="2"/>
      <c r="H382" s="11"/>
    </row>
    <row r="383" spans="1:8" ht="24">
      <c r="A383" s="49" t="s">
        <v>1234</v>
      </c>
      <c r="C383" s="12" t="s">
        <v>718</v>
      </c>
      <c r="D383" s="7"/>
      <c r="E383" s="12" t="s">
        <v>719</v>
      </c>
      <c r="F383" s="13"/>
      <c r="G383" s="12" t="s">
        <v>720</v>
      </c>
      <c r="H383" s="11"/>
    </row>
    <row r="384" spans="1:8" ht="12.75">
      <c r="A384" s="61" t="s">
        <v>1113</v>
      </c>
      <c r="C384" s="26">
        <f t="shared" ref="C384:C391" si="22">E384+G384</f>
        <v>0</v>
      </c>
      <c r="D384" s="7"/>
      <c r="E384" s="671"/>
      <c r="F384" s="7"/>
      <c r="G384" s="671"/>
      <c r="H384" s="11"/>
    </row>
    <row r="385" spans="1:8" ht="12.75">
      <c r="A385" s="61" t="s">
        <v>1114</v>
      </c>
      <c r="C385" s="26">
        <f t="shared" si="22"/>
        <v>0</v>
      </c>
      <c r="D385" s="7"/>
      <c r="E385" s="671"/>
      <c r="F385" s="7"/>
      <c r="G385" s="671"/>
      <c r="H385" s="11"/>
    </row>
    <row r="386" spans="1:8" ht="12.75">
      <c r="A386" s="61" t="s">
        <v>1115</v>
      </c>
      <c r="C386" s="26">
        <f t="shared" si="22"/>
        <v>0</v>
      </c>
      <c r="D386" s="7"/>
      <c r="E386" s="671"/>
      <c r="F386" s="7"/>
      <c r="G386" s="671"/>
      <c r="H386" s="11"/>
    </row>
    <row r="387" spans="1:8" ht="12.75">
      <c r="A387" s="61" t="s">
        <v>1116</v>
      </c>
      <c r="C387" s="26">
        <f t="shared" si="22"/>
        <v>0</v>
      </c>
      <c r="D387" s="7"/>
      <c r="E387" s="671"/>
      <c r="F387" s="7"/>
      <c r="G387" s="671"/>
      <c r="H387" s="11"/>
    </row>
    <row r="388" spans="1:8" ht="12.75">
      <c r="A388" s="773" t="s">
        <v>1117</v>
      </c>
      <c r="C388" s="26">
        <f t="shared" si="22"/>
        <v>0</v>
      </c>
      <c r="D388" s="7"/>
      <c r="E388" s="671"/>
      <c r="F388" s="7"/>
      <c r="G388" s="671"/>
      <c r="H388" s="11"/>
    </row>
    <row r="389" spans="1:8" ht="12.75">
      <c r="A389" s="61" t="s">
        <v>1118</v>
      </c>
      <c r="C389" s="26">
        <f t="shared" si="22"/>
        <v>0</v>
      </c>
      <c r="D389" s="7"/>
      <c r="E389" s="671"/>
      <c r="F389" s="7"/>
      <c r="G389" s="671"/>
      <c r="H389" s="11"/>
    </row>
    <row r="390" spans="1:8" s="2" customFormat="1">
      <c r="A390" s="61" t="s">
        <v>1119</v>
      </c>
      <c r="B390" s="1"/>
      <c r="C390" s="38">
        <f t="shared" si="22"/>
        <v>0</v>
      </c>
      <c r="D390" s="7"/>
      <c r="E390" s="676"/>
      <c r="F390" s="7"/>
      <c r="G390" s="676"/>
    </row>
    <row r="391" spans="1:8" ht="12.75">
      <c r="A391" s="49" t="s">
        <v>1240</v>
      </c>
      <c r="C391" s="60">
        <f t="shared" si="22"/>
        <v>0</v>
      </c>
      <c r="D391" s="7"/>
      <c r="E391" s="59">
        <f>SUM(E384:E390)</f>
        <v>0</v>
      </c>
      <c r="F391" s="7"/>
      <c r="G391" s="59">
        <f>SUM(G384:G390)</f>
        <v>0</v>
      </c>
      <c r="H391" s="11"/>
    </row>
    <row r="392" spans="1:8" ht="12.75">
      <c r="A392" s="51"/>
      <c r="C392" s="62"/>
      <c r="D392" s="7"/>
      <c r="E392" s="62"/>
      <c r="F392" s="7"/>
      <c r="G392" s="62"/>
      <c r="H392" s="11"/>
    </row>
    <row r="393" spans="1:8" ht="13.5" thickBot="1">
      <c r="A393" s="51" t="s">
        <v>1043</v>
      </c>
      <c r="C393" s="23">
        <f>C381+C391</f>
        <v>0</v>
      </c>
      <c r="D393" s="7"/>
      <c r="E393" s="23">
        <f>E381+E391</f>
        <v>0</v>
      </c>
      <c r="F393" s="7"/>
      <c r="G393" s="23">
        <f>G381+G391</f>
        <v>0</v>
      </c>
      <c r="H393" s="11"/>
    </row>
    <row r="394" spans="1:8" ht="12.75" thickTop="1">
      <c r="A394" s="4"/>
      <c r="C394" s="74"/>
      <c r="D394" s="7"/>
      <c r="E394" s="7"/>
      <c r="F394" s="7"/>
      <c r="G394" s="7"/>
    </row>
    <row r="395" spans="1:8" ht="12.75">
      <c r="A395" s="10" t="s">
        <v>1045</v>
      </c>
      <c r="B395" s="2"/>
      <c r="C395" s="2"/>
      <c r="D395" s="24"/>
      <c r="E395" s="11"/>
      <c r="F395" s="24"/>
      <c r="G395" s="11"/>
      <c r="H395" s="11"/>
    </row>
    <row r="396" spans="1:8" ht="24">
      <c r="A396" s="49" t="s">
        <v>786</v>
      </c>
      <c r="B396" s="2"/>
      <c r="C396" s="12" t="s">
        <v>718</v>
      </c>
      <c r="D396" s="24"/>
      <c r="E396" s="12" t="s">
        <v>719</v>
      </c>
      <c r="F396" s="13"/>
      <c r="G396" s="12" t="s">
        <v>720</v>
      </c>
      <c r="H396" s="11"/>
    </row>
    <row r="397" spans="1:8" ht="12.75">
      <c r="A397" s="763" t="s">
        <v>1087</v>
      </c>
      <c r="B397" s="2"/>
      <c r="C397" s="16">
        <f t="shared" ref="C397:C411" si="23">E397+G397</f>
        <v>0</v>
      </c>
      <c r="D397" s="7"/>
      <c r="E397" s="669"/>
      <c r="F397" s="7"/>
      <c r="G397" s="669"/>
      <c r="H397" s="11"/>
    </row>
    <row r="398" spans="1:8" ht="12.75">
      <c r="A398" s="763" t="s">
        <v>1088</v>
      </c>
      <c r="B398" s="2"/>
      <c r="C398" s="16">
        <f t="shared" si="23"/>
        <v>0</v>
      </c>
      <c r="E398" s="669"/>
      <c r="F398" s="7"/>
      <c r="G398" s="669"/>
      <c r="H398" s="11"/>
    </row>
    <row r="399" spans="1:8" ht="12.75">
      <c r="A399" s="763" t="s">
        <v>1089</v>
      </c>
      <c r="B399" s="2"/>
      <c r="C399" s="16">
        <f t="shared" si="23"/>
        <v>0</v>
      </c>
      <c r="E399" s="669"/>
      <c r="F399" s="7"/>
      <c r="G399" s="669"/>
      <c r="H399" s="11"/>
    </row>
    <row r="400" spans="1:8" ht="12.75">
      <c r="A400" s="763" t="s">
        <v>1189</v>
      </c>
      <c r="B400" s="2"/>
      <c r="C400" s="16">
        <f t="shared" si="23"/>
        <v>0</v>
      </c>
      <c r="E400" s="669"/>
      <c r="F400" s="7"/>
      <c r="G400" s="669"/>
      <c r="H400" s="11"/>
    </row>
    <row r="401" spans="1:8" ht="12.75">
      <c r="A401" s="763" t="s">
        <v>1190</v>
      </c>
      <c r="B401" s="2"/>
      <c r="C401" s="16">
        <f t="shared" si="23"/>
        <v>0</v>
      </c>
      <c r="E401" s="669"/>
      <c r="F401" s="7"/>
      <c r="G401" s="669"/>
      <c r="H401" s="11"/>
    </row>
    <row r="402" spans="1:8" ht="12.75">
      <c r="A402" s="774" t="s">
        <v>1090</v>
      </c>
      <c r="B402" s="2"/>
      <c r="C402" s="16">
        <f t="shared" si="23"/>
        <v>0</v>
      </c>
      <c r="E402" s="669"/>
      <c r="F402" s="7"/>
      <c r="G402" s="669"/>
      <c r="H402" s="11"/>
    </row>
    <row r="403" spans="1:8" ht="12" customHeight="1">
      <c r="A403" s="763" t="s">
        <v>1091</v>
      </c>
      <c r="B403" s="764"/>
      <c r="C403" s="20">
        <f t="shared" si="23"/>
        <v>0</v>
      </c>
      <c r="E403" s="669"/>
      <c r="F403" s="7"/>
      <c r="G403" s="669"/>
    </row>
    <row r="404" spans="1:8" ht="12" customHeight="1">
      <c r="A404" s="774" t="s">
        <v>1092</v>
      </c>
      <c r="B404" s="764"/>
      <c r="C404" s="20">
        <f t="shared" si="23"/>
        <v>0</v>
      </c>
      <c r="E404" s="669"/>
      <c r="F404" s="7"/>
      <c r="G404" s="669"/>
    </row>
    <row r="405" spans="1:8" ht="12" customHeight="1">
      <c r="A405" s="774" t="s">
        <v>1093</v>
      </c>
      <c r="B405" s="764"/>
      <c r="C405" s="20">
        <f t="shared" si="23"/>
        <v>0</v>
      </c>
      <c r="E405" s="669"/>
      <c r="F405" s="7"/>
      <c r="G405" s="669"/>
    </row>
    <row r="406" spans="1:8" ht="12" customHeight="1">
      <c r="A406" s="774" t="s">
        <v>1094</v>
      </c>
      <c r="B406" s="764"/>
      <c r="C406" s="20">
        <f t="shared" si="23"/>
        <v>0</v>
      </c>
      <c r="E406" s="669"/>
      <c r="F406" s="7"/>
      <c r="G406" s="669"/>
    </row>
    <row r="407" spans="1:8" ht="12" customHeight="1">
      <c r="A407" s="774" t="s">
        <v>1095</v>
      </c>
      <c r="B407" s="764"/>
      <c r="C407" s="20">
        <f t="shared" si="23"/>
        <v>0</v>
      </c>
      <c r="E407" s="669"/>
      <c r="F407" s="7"/>
      <c r="G407" s="669"/>
    </row>
    <row r="408" spans="1:8" ht="12" customHeight="1">
      <c r="A408" s="774" t="s">
        <v>1096</v>
      </c>
      <c r="B408" s="764"/>
      <c r="C408" s="20">
        <f t="shared" si="23"/>
        <v>0</v>
      </c>
      <c r="E408" s="669"/>
      <c r="F408" s="7"/>
      <c r="G408" s="669"/>
    </row>
    <row r="409" spans="1:8" ht="12" customHeight="1">
      <c r="A409" s="774" t="s">
        <v>1097</v>
      </c>
      <c r="B409" s="764"/>
      <c r="C409" s="20">
        <f t="shared" si="23"/>
        <v>0</v>
      </c>
      <c r="E409" s="669"/>
      <c r="F409" s="7"/>
      <c r="G409" s="669"/>
    </row>
    <row r="410" spans="1:8" ht="12" customHeight="1">
      <c r="A410" s="774" t="s">
        <v>1098</v>
      </c>
      <c r="B410" s="764"/>
      <c r="C410" s="20">
        <f t="shared" si="23"/>
        <v>0</v>
      </c>
      <c r="E410" s="669"/>
      <c r="F410" s="7"/>
      <c r="G410" s="669"/>
    </row>
    <row r="411" spans="1:8" ht="12" customHeight="1">
      <c r="A411" s="774" t="s">
        <v>1099</v>
      </c>
      <c r="B411" s="764"/>
      <c r="C411" s="20">
        <f t="shared" si="23"/>
        <v>0</v>
      </c>
      <c r="E411" s="669"/>
      <c r="F411" s="7"/>
      <c r="G411" s="669"/>
    </row>
    <row r="412" spans="1:8" ht="13.5" thickBot="1">
      <c r="A412" s="49" t="s">
        <v>1046</v>
      </c>
      <c r="B412" s="2"/>
      <c r="C412" s="23">
        <f>E412+G412</f>
        <v>0</v>
      </c>
      <c r="E412" s="63">
        <f>SUM(E397:E411)</f>
        <v>0</v>
      </c>
      <c r="F412" s="7"/>
      <c r="G412" s="63">
        <f>SUM(G397:G411)</f>
        <v>0</v>
      </c>
      <c r="H412" s="11"/>
    </row>
    <row r="413" spans="1:8" ht="13.5" thickTop="1">
      <c r="A413" s="49"/>
      <c r="B413" s="2"/>
      <c r="C413" s="2"/>
      <c r="D413" s="24"/>
      <c r="E413" s="79"/>
      <c r="F413" s="79"/>
      <c r="G413" s="79"/>
      <c r="H413" s="11"/>
    </row>
    <row r="414" spans="1:8" ht="24">
      <c r="A414" s="49" t="s">
        <v>1234</v>
      </c>
      <c r="B414" s="2"/>
      <c r="C414" s="12" t="s">
        <v>718</v>
      </c>
      <c r="D414" s="24"/>
      <c r="E414" s="12" t="s">
        <v>719</v>
      </c>
      <c r="F414" s="13"/>
      <c r="G414" s="12" t="s">
        <v>720</v>
      </c>
      <c r="H414" s="11"/>
    </row>
    <row r="415" spans="1:8" ht="12.75">
      <c r="A415" s="61" t="s">
        <v>1047</v>
      </c>
      <c r="B415" s="2"/>
      <c r="C415" s="26">
        <f t="shared" ref="C415:C422" si="24">E415+G415</f>
        <v>0</v>
      </c>
      <c r="D415" s="7"/>
      <c r="E415" s="671"/>
      <c r="F415" s="7"/>
      <c r="G415" s="671"/>
      <c r="H415" s="11"/>
    </row>
    <row r="416" spans="1:8" ht="12.75">
      <c r="A416" s="61" t="s">
        <v>1048</v>
      </c>
      <c r="B416" s="2"/>
      <c r="C416" s="26">
        <f t="shared" si="24"/>
        <v>0</v>
      </c>
      <c r="D416" s="7"/>
      <c r="E416" s="671"/>
      <c r="F416" s="7"/>
      <c r="G416" s="671"/>
      <c r="H416" s="11"/>
    </row>
    <row r="417" spans="1:8" ht="12.75">
      <c r="A417" s="61" t="s">
        <v>1120</v>
      </c>
      <c r="B417" s="2"/>
      <c r="C417" s="26">
        <f t="shared" si="24"/>
        <v>0</v>
      </c>
      <c r="D417" s="7"/>
      <c r="E417" s="671"/>
      <c r="F417" s="7"/>
      <c r="G417" s="671"/>
      <c r="H417" s="11"/>
    </row>
    <row r="418" spans="1:8" ht="12.75">
      <c r="A418" s="61" t="s">
        <v>1121</v>
      </c>
      <c r="B418" s="2"/>
      <c r="C418" s="26">
        <f t="shared" si="24"/>
        <v>0</v>
      </c>
      <c r="D418" s="7"/>
      <c r="E418" s="671"/>
      <c r="F418" s="7"/>
      <c r="G418" s="671"/>
      <c r="H418" s="11"/>
    </row>
    <row r="419" spans="1:8" ht="12.75">
      <c r="A419" s="773" t="s">
        <v>1122</v>
      </c>
      <c r="B419" s="2"/>
      <c r="C419" s="26">
        <f t="shared" si="24"/>
        <v>0</v>
      </c>
      <c r="D419" s="7"/>
      <c r="E419" s="671"/>
      <c r="F419" s="7"/>
      <c r="G419" s="671"/>
      <c r="H419" s="11"/>
    </row>
    <row r="420" spans="1:8" ht="12.75">
      <c r="A420" s="61" t="s">
        <v>1123</v>
      </c>
      <c r="B420" s="2"/>
      <c r="C420" s="26">
        <f t="shared" si="24"/>
        <v>0</v>
      </c>
      <c r="D420" s="7"/>
      <c r="E420" s="671"/>
      <c r="F420" s="7"/>
      <c r="G420" s="671"/>
      <c r="H420" s="11"/>
    </row>
    <row r="421" spans="1:8" s="2" customFormat="1">
      <c r="A421" s="61" t="s">
        <v>1124</v>
      </c>
      <c r="B421" s="1"/>
      <c r="C421" s="38">
        <f t="shared" si="24"/>
        <v>0</v>
      </c>
      <c r="D421" s="7"/>
      <c r="E421" s="676"/>
      <c r="F421" s="7"/>
      <c r="G421" s="676"/>
    </row>
    <row r="422" spans="1:8" ht="12.75">
      <c r="A422" s="49" t="s">
        <v>1241</v>
      </c>
      <c r="C422" s="60">
        <f t="shared" si="24"/>
        <v>0</v>
      </c>
      <c r="D422" s="7"/>
      <c r="E422" s="59">
        <f>SUM(E415:E421)</f>
        <v>0</v>
      </c>
      <c r="F422" s="7"/>
      <c r="G422" s="59">
        <f>SUM(G415:G421)</f>
        <v>0</v>
      </c>
      <c r="H422" s="11"/>
    </row>
    <row r="423" spans="1:8" ht="12.75">
      <c r="A423" s="61"/>
      <c r="C423" s="62"/>
      <c r="D423" s="7"/>
      <c r="E423" s="62"/>
      <c r="F423" s="7"/>
      <c r="G423" s="62"/>
      <c r="H423" s="11"/>
    </row>
    <row r="424" spans="1:8" ht="13.5" thickBot="1">
      <c r="A424" s="51" t="s">
        <v>1049</v>
      </c>
      <c r="C424" s="23">
        <f>C412+C422</f>
        <v>0</v>
      </c>
      <c r="D424" s="7"/>
      <c r="E424" s="23">
        <f>E412+E422</f>
        <v>0</v>
      </c>
      <c r="F424" s="7"/>
      <c r="G424" s="23">
        <f>G412+G422</f>
        <v>0</v>
      </c>
      <c r="H424" s="11"/>
    </row>
    <row r="425" spans="1:8" ht="13.5" thickTop="1">
      <c r="A425" s="2"/>
      <c r="B425" s="2"/>
      <c r="C425" s="2"/>
      <c r="D425" s="24"/>
      <c r="E425" s="2"/>
      <c r="G425" s="2"/>
      <c r="H425" s="11"/>
    </row>
    <row r="426" spans="1:8" ht="11.25" customHeight="1">
      <c r="A426" s="1"/>
      <c r="D426" s="24"/>
      <c r="E426" s="2"/>
      <c r="G426" s="2"/>
      <c r="H426" s="11"/>
    </row>
    <row r="427" spans="1:8" ht="12.75">
      <c r="A427" s="10" t="s">
        <v>1051</v>
      </c>
      <c r="B427" s="2"/>
      <c r="C427" s="2"/>
      <c r="D427" s="24"/>
      <c r="E427" s="11"/>
      <c r="F427" s="24"/>
      <c r="G427" s="11"/>
      <c r="H427" s="11"/>
    </row>
    <row r="428" spans="1:8" ht="24">
      <c r="A428" s="49" t="s">
        <v>786</v>
      </c>
      <c r="B428" s="2"/>
      <c r="C428" s="12" t="s">
        <v>718</v>
      </c>
      <c r="D428" s="24"/>
      <c r="E428" s="12" t="s">
        <v>719</v>
      </c>
      <c r="F428" s="13"/>
      <c r="G428" s="12" t="s">
        <v>720</v>
      </c>
      <c r="H428" s="11"/>
    </row>
    <row r="429" spans="1:8" ht="12.75">
      <c r="A429" s="763" t="s">
        <v>1100</v>
      </c>
      <c r="B429" s="2"/>
      <c r="C429" s="16">
        <f t="shared" ref="C429:C444" si="25">E429+G429</f>
        <v>0</v>
      </c>
      <c r="D429" s="7"/>
      <c r="E429" s="669"/>
      <c r="F429" s="7"/>
      <c r="G429" s="669"/>
      <c r="H429" s="11"/>
    </row>
    <row r="430" spans="1:8" ht="12.75">
      <c r="A430" s="763" t="s">
        <v>1101</v>
      </c>
      <c r="B430" s="2"/>
      <c r="C430" s="16">
        <f t="shared" si="25"/>
        <v>0</v>
      </c>
      <c r="E430" s="669"/>
      <c r="F430" s="7"/>
      <c r="G430" s="669"/>
      <c r="H430" s="11"/>
    </row>
    <row r="431" spans="1:8" ht="12.75">
      <c r="A431" s="763" t="s">
        <v>1102</v>
      </c>
      <c r="B431" s="2"/>
      <c r="C431" s="16">
        <f t="shared" si="25"/>
        <v>0</v>
      </c>
      <c r="E431" s="669"/>
      <c r="F431" s="7"/>
      <c r="G431" s="669"/>
      <c r="H431" s="11"/>
    </row>
    <row r="432" spans="1:8" ht="12.75">
      <c r="A432" s="763" t="s">
        <v>1191</v>
      </c>
      <c r="B432" s="2"/>
      <c r="C432" s="16">
        <f t="shared" si="25"/>
        <v>0</v>
      </c>
      <c r="E432" s="669"/>
      <c r="F432" s="7"/>
      <c r="G432" s="669"/>
      <c r="H432" s="11"/>
    </row>
    <row r="433" spans="1:8" ht="12.75">
      <c r="A433" s="763" t="s">
        <v>1192</v>
      </c>
      <c r="B433" s="2"/>
      <c r="C433" s="16">
        <f t="shared" si="25"/>
        <v>0</v>
      </c>
      <c r="E433" s="669"/>
      <c r="F433" s="7"/>
      <c r="G433" s="669"/>
      <c r="H433" s="11"/>
    </row>
    <row r="434" spans="1:8" ht="12.75">
      <c r="A434" s="774" t="s">
        <v>1103</v>
      </c>
      <c r="B434" s="2"/>
      <c r="C434" s="16">
        <f t="shared" si="25"/>
        <v>0</v>
      </c>
      <c r="E434" s="669"/>
      <c r="F434" s="7"/>
      <c r="G434" s="669"/>
      <c r="H434" s="11"/>
    </row>
    <row r="435" spans="1:8" ht="12" customHeight="1">
      <c r="A435" s="763" t="s">
        <v>1104</v>
      </c>
      <c r="B435" s="764"/>
      <c r="C435" s="20">
        <f t="shared" si="25"/>
        <v>0</v>
      </c>
      <c r="E435" s="669"/>
      <c r="F435" s="7"/>
      <c r="G435" s="669"/>
    </row>
    <row r="436" spans="1:8" ht="12" customHeight="1">
      <c r="A436" s="774" t="s">
        <v>1105</v>
      </c>
      <c r="B436" s="764"/>
      <c r="C436" s="20">
        <f t="shared" si="25"/>
        <v>0</v>
      </c>
      <c r="E436" s="669"/>
      <c r="F436" s="7"/>
      <c r="G436" s="669"/>
    </row>
    <row r="437" spans="1:8" ht="12" customHeight="1">
      <c r="A437" s="774" t="s">
        <v>1106</v>
      </c>
      <c r="B437" s="764"/>
      <c r="C437" s="20">
        <f t="shared" si="25"/>
        <v>0</v>
      </c>
      <c r="E437" s="669"/>
      <c r="F437" s="7"/>
      <c r="G437" s="669"/>
    </row>
    <row r="438" spans="1:8" ht="12" customHeight="1">
      <c r="A438" s="774" t="s">
        <v>1107</v>
      </c>
      <c r="B438" s="764"/>
      <c r="C438" s="20">
        <f t="shared" si="25"/>
        <v>0</v>
      </c>
      <c r="E438" s="669"/>
      <c r="F438" s="7"/>
      <c r="G438" s="669"/>
    </row>
    <row r="439" spans="1:8" ht="12" customHeight="1">
      <c r="A439" s="774" t="s">
        <v>1108</v>
      </c>
      <c r="B439" s="764"/>
      <c r="C439" s="20">
        <f t="shared" si="25"/>
        <v>0</v>
      </c>
      <c r="E439" s="669"/>
      <c r="F439" s="7"/>
      <c r="G439" s="669"/>
    </row>
    <row r="440" spans="1:8" ht="12" customHeight="1">
      <c r="A440" s="774" t="s">
        <v>1109</v>
      </c>
      <c r="B440" s="764"/>
      <c r="C440" s="20">
        <f t="shared" si="25"/>
        <v>0</v>
      </c>
      <c r="E440" s="669"/>
      <c r="F440" s="7"/>
      <c r="G440" s="669"/>
    </row>
    <row r="441" spans="1:8" ht="12" customHeight="1">
      <c r="A441" s="774" t="s">
        <v>1110</v>
      </c>
      <c r="B441" s="764"/>
      <c r="C441" s="20">
        <f t="shared" si="25"/>
        <v>0</v>
      </c>
      <c r="E441" s="669"/>
      <c r="F441" s="7"/>
      <c r="G441" s="669"/>
    </row>
    <row r="442" spans="1:8" ht="12" customHeight="1">
      <c r="A442" s="774" t="s">
        <v>1111</v>
      </c>
      <c r="B442" s="764"/>
      <c r="C442" s="20">
        <f t="shared" si="25"/>
        <v>0</v>
      </c>
      <c r="E442" s="669"/>
      <c r="F442" s="7"/>
      <c r="G442" s="669"/>
    </row>
    <row r="443" spans="1:8" ht="12" customHeight="1">
      <c r="A443" s="774" t="s">
        <v>1112</v>
      </c>
      <c r="B443" s="764"/>
      <c r="C443" s="20">
        <f t="shared" si="25"/>
        <v>0</v>
      </c>
      <c r="E443" s="669"/>
      <c r="F443" s="7"/>
      <c r="G443" s="669"/>
    </row>
    <row r="444" spans="1:8" ht="13.5" thickBot="1">
      <c r="A444" s="49" t="s">
        <v>1052</v>
      </c>
      <c r="B444" s="2"/>
      <c r="C444" s="23">
        <f t="shared" si="25"/>
        <v>0</v>
      </c>
      <c r="E444" s="63">
        <f>SUM(E429:E434)+SUM(E435:E443)</f>
        <v>0</v>
      </c>
      <c r="F444" s="7"/>
      <c r="G444" s="63">
        <f>SUM(G429:G434)+SUM(G435:G443)</f>
        <v>0</v>
      </c>
      <c r="H444" s="11"/>
    </row>
    <row r="445" spans="1:8" ht="13.5" thickTop="1">
      <c r="A445" s="49"/>
      <c r="B445" s="2"/>
      <c r="C445" s="2"/>
      <c r="D445" s="24"/>
      <c r="E445" s="79"/>
      <c r="F445" s="79"/>
      <c r="G445" s="79"/>
      <c r="H445" s="11"/>
    </row>
    <row r="446" spans="1:8" ht="24">
      <c r="A446" s="49" t="s">
        <v>1234</v>
      </c>
      <c r="B446" s="2"/>
      <c r="C446" s="12" t="s">
        <v>718</v>
      </c>
      <c r="D446" s="24"/>
      <c r="E446" s="12" t="s">
        <v>719</v>
      </c>
      <c r="F446" s="13"/>
      <c r="G446" s="12" t="s">
        <v>720</v>
      </c>
      <c r="H446" s="11"/>
    </row>
    <row r="447" spans="1:8" ht="12.75">
      <c r="A447" s="61" t="s">
        <v>1053</v>
      </c>
      <c r="B447" s="2"/>
      <c r="C447" s="26">
        <f t="shared" ref="C447:C454" si="26">E447+G447</f>
        <v>0</v>
      </c>
      <c r="D447" s="7"/>
      <c r="E447" s="671"/>
      <c r="F447" s="7"/>
      <c r="G447" s="671"/>
      <c r="H447" s="11"/>
    </row>
    <row r="448" spans="1:8" ht="12.75">
      <c r="A448" s="61" t="s">
        <v>1054</v>
      </c>
      <c r="B448" s="2"/>
      <c r="C448" s="26">
        <f t="shared" si="26"/>
        <v>0</v>
      </c>
      <c r="D448" s="7"/>
      <c r="E448" s="671"/>
      <c r="F448" s="7"/>
      <c r="G448" s="671"/>
      <c r="H448" s="11"/>
    </row>
    <row r="449" spans="1:8" ht="12.75">
      <c r="A449" s="61" t="s">
        <v>1125</v>
      </c>
      <c r="B449" s="2"/>
      <c r="C449" s="26">
        <f t="shared" si="26"/>
        <v>0</v>
      </c>
      <c r="D449" s="7"/>
      <c r="E449" s="671"/>
      <c r="F449" s="7"/>
      <c r="G449" s="671"/>
      <c r="H449" s="11"/>
    </row>
    <row r="450" spans="1:8" ht="12.75">
      <c r="A450" s="61" t="s">
        <v>1126</v>
      </c>
      <c r="B450" s="2"/>
      <c r="C450" s="26">
        <f t="shared" si="26"/>
        <v>0</v>
      </c>
      <c r="D450" s="7"/>
      <c r="E450" s="671"/>
      <c r="F450" s="7"/>
      <c r="G450" s="671"/>
      <c r="H450" s="11"/>
    </row>
    <row r="451" spans="1:8" ht="12.75">
      <c r="A451" s="773" t="s">
        <v>1127</v>
      </c>
      <c r="B451" s="2"/>
      <c r="C451" s="26">
        <f t="shared" si="26"/>
        <v>0</v>
      </c>
      <c r="D451" s="7"/>
      <c r="E451" s="671"/>
      <c r="F451" s="7"/>
      <c r="G451" s="671"/>
      <c r="H451" s="11"/>
    </row>
    <row r="452" spans="1:8" ht="12.75">
      <c r="A452" s="61" t="s">
        <v>1128</v>
      </c>
      <c r="B452" s="2"/>
      <c r="C452" s="26">
        <f t="shared" si="26"/>
        <v>0</v>
      </c>
      <c r="D452" s="7"/>
      <c r="E452" s="671"/>
      <c r="F452" s="7"/>
      <c r="G452" s="671"/>
      <c r="H452" s="11"/>
    </row>
    <row r="453" spans="1:8" s="2" customFormat="1">
      <c r="A453" s="61" t="s">
        <v>1129</v>
      </c>
      <c r="B453" s="1"/>
      <c r="C453" s="38">
        <f t="shared" si="26"/>
        <v>0</v>
      </c>
      <c r="D453" s="7"/>
      <c r="E453" s="676"/>
      <c r="F453" s="7"/>
      <c r="G453" s="676"/>
    </row>
    <row r="454" spans="1:8" ht="12.75">
      <c r="A454" s="49" t="s">
        <v>1242</v>
      </c>
      <c r="C454" s="60">
        <f t="shared" si="26"/>
        <v>0</v>
      </c>
      <c r="D454" s="7"/>
      <c r="E454" s="59">
        <f>SUM(E447:E453)</f>
        <v>0</v>
      </c>
      <c r="F454" s="7"/>
      <c r="G454" s="59">
        <f>SUM(G447:G453)</f>
        <v>0</v>
      </c>
      <c r="H454" s="11"/>
    </row>
    <row r="455" spans="1:8" ht="12.75">
      <c r="A455" s="61"/>
      <c r="C455" s="62"/>
      <c r="D455" s="7"/>
      <c r="E455" s="62"/>
      <c r="F455" s="7"/>
      <c r="G455" s="62"/>
      <c r="H455" s="11"/>
    </row>
    <row r="456" spans="1:8" ht="13.5" thickBot="1">
      <c r="A456" s="51" t="s">
        <v>1055</v>
      </c>
      <c r="C456" s="23">
        <f>C444+C454</f>
        <v>0</v>
      </c>
      <c r="D456" s="7"/>
      <c r="E456" s="23">
        <f>E444+E454</f>
        <v>0</v>
      </c>
      <c r="F456" s="7"/>
      <c r="G456" s="23">
        <f>G444+G454</f>
        <v>0</v>
      </c>
      <c r="H456" s="11"/>
    </row>
    <row r="457" spans="1:8" ht="13.5" thickTop="1">
      <c r="A457" s="51"/>
      <c r="C457" s="7"/>
      <c r="D457" s="24"/>
      <c r="E457" s="7"/>
      <c r="F457" s="7"/>
      <c r="G457" s="7"/>
      <c r="H457" s="11"/>
    </row>
    <row r="458" spans="1:8" ht="12.75">
      <c r="C458" s="79"/>
      <c r="E458" s="2"/>
      <c r="G458" s="2"/>
      <c r="H458" s="11"/>
    </row>
    <row r="459" spans="1:8" ht="12.75">
      <c r="A459" s="1"/>
      <c r="D459" s="24"/>
      <c r="E459" s="2"/>
      <c r="G459" s="2"/>
      <c r="H459" s="11"/>
    </row>
    <row r="460" spans="1:8" ht="12.75">
      <c r="A460" s="24"/>
      <c r="B460" s="24"/>
      <c r="C460" s="24"/>
      <c r="D460" s="24"/>
      <c r="E460" s="2"/>
      <c r="G460" s="2"/>
      <c r="H460" s="11"/>
    </row>
    <row r="461" spans="1:8" ht="12.75">
      <c r="A461" s="24"/>
      <c r="B461" s="24"/>
      <c r="C461" s="24"/>
      <c r="D461" s="24"/>
      <c r="E461" s="2"/>
      <c r="G461" s="2"/>
      <c r="H461" s="11"/>
    </row>
    <row r="462" spans="1:8" ht="12.75">
      <c r="A462" s="24"/>
      <c r="B462" s="24"/>
      <c r="C462" s="24"/>
      <c r="D462" s="24"/>
      <c r="E462" s="2"/>
      <c r="G462" s="2"/>
      <c r="H462" s="11"/>
    </row>
    <row r="463" spans="1:8" ht="15.75">
      <c r="A463" s="80"/>
      <c r="B463" s="81"/>
      <c r="D463" s="24"/>
      <c r="E463" s="799"/>
      <c r="F463" s="24"/>
      <c r="G463" s="24"/>
      <c r="H463" s="11"/>
    </row>
    <row r="464" spans="1:8" ht="12.75">
      <c r="A464" s="464" t="s">
        <v>0</v>
      </c>
      <c r="B464" s="83"/>
      <c r="D464" s="24"/>
      <c r="E464" s="786" t="s">
        <v>1</v>
      </c>
      <c r="F464" s="24"/>
      <c r="G464" s="24"/>
      <c r="H464" s="11"/>
    </row>
    <row r="465" spans="1:8" ht="12.75">
      <c r="A465" s="787" t="s">
        <v>2</v>
      </c>
      <c r="B465" s="83"/>
      <c r="D465" s="24"/>
      <c r="E465" s="84"/>
      <c r="F465" s="24"/>
      <c r="G465" s="24"/>
      <c r="H465" s="11"/>
    </row>
    <row r="466" spans="1:8" ht="12.75">
      <c r="A466" s="84"/>
      <c r="B466" s="84"/>
      <c r="D466" s="24"/>
      <c r="E466" s="84"/>
      <c r="F466" s="24"/>
      <c r="G466" s="24"/>
      <c r="H466" s="11"/>
    </row>
    <row r="467" spans="1:8" ht="12.75">
      <c r="A467" s="84"/>
      <c r="B467" s="84"/>
      <c r="D467" s="24"/>
      <c r="E467" s="84"/>
      <c r="F467" s="24"/>
      <c r="G467" s="24"/>
      <c r="H467" s="11"/>
    </row>
    <row r="468" spans="1:8" ht="12.75">
      <c r="A468" s="84"/>
      <c r="B468" s="84"/>
      <c r="D468" s="24"/>
      <c r="E468" s="84"/>
      <c r="F468" s="24"/>
      <c r="G468" s="24"/>
      <c r="H468" s="11"/>
    </row>
    <row r="469" spans="1:8" ht="12.75">
      <c r="A469" s="84"/>
      <c r="B469" s="84"/>
      <c r="D469" s="24"/>
      <c r="E469" s="84"/>
      <c r="F469" s="24"/>
      <c r="G469" s="24"/>
      <c r="H469" s="11"/>
    </row>
    <row r="470" spans="1:8" ht="12.75">
      <c r="A470" s="84"/>
      <c r="B470" s="84"/>
      <c r="D470" s="24"/>
      <c r="E470" s="84"/>
      <c r="F470" s="24"/>
      <c r="G470" s="24"/>
      <c r="H470" s="11"/>
    </row>
    <row r="471" spans="1:8" ht="15.75">
      <c r="A471" s="85"/>
      <c r="B471" s="86"/>
      <c r="D471" s="24"/>
      <c r="E471" s="800"/>
      <c r="F471" s="24"/>
      <c r="G471" s="24"/>
      <c r="H471" s="11"/>
    </row>
    <row r="472" spans="1:8" ht="12.75">
      <c r="A472" s="788" t="s">
        <v>3</v>
      </c>
      <c r="B472" s="464"/>
      <c r="D472" s="24"/>
      <c r="E472" s="463" t="s">
        <v>4</v>
      </c>
      <c r="F472" s="24"/>
      <c r="G472" s="24"/>
      <c r="H472" s="11"/>
    </row>
    <row r="473" spans="1:8" ht="12.75">
      <c r="A473" s="787" t="s">
        <v>2</v>
      </c>
      <c r="B473" s="83"/>
      <c r="C473" s="84"/>
      <c r="D473" s="24"/>
      <c r="E473" s="11"/>
      <c r="F473" s="24"/>
      <c r="G473" s="24"/>
      <c r="H473" s="11"/>
    </row>
    <row r="474" spans="1:8" ht="12.75">
      <c r="A474" s="789"/>
      <c r="B474" s="84"/>
      <c r="C474" s="84"/>
      <c r="D474" s="24"/>
      <c r="E474" s="11"/>
      <c r="F474" s="24"/>
      <c r="G474" s="24"/>
      <c r="H474" s="11"/>
    </row>
    <row r="475" spans="1:8" ht="12.75">
      <c r="A475" s="789"/>
      <c r="B475" s="84"/>
      <c r="C475" s="84"/>
      <c r="D475" s="24"/>
      <c r="E475" s="11"/>
      <c r="F475" s="24"/>
      <c r="G475" s="24"/>
      <c r="H475" s="11"/>
    </row>
    <row r="476" spans="1:8" ht="12.75">
      <c r="A476" s="84"/>
      <c r="B476" s="84"/>
      <c r="C476" s="84"/>
      <c r="D476" s="24"/>
      <c r="E476" s="11"/>
      <c r="F476" s="24"/>
      <c r="G476" s="24"/>
      <c r="H476" s="11"/>
    </row>
    <row r="477" spans="1:8" ht="12.75">
      <c r="A477" s="84"/>
      <c r="B477" s="84"/>
      <c r="C477" s="84"/>
      <c r="D477" s="24"/>
      <c r="E477" s="11"/>
      <c r="F477" s="24"/>
      <c r="G477" s="24"/>
      <c r="H477" s="11"/>
    </row>
    <row r="478" spans="1:8" ht="12.75">
      <c r="A478" s="90"/>
      <c r="B478" s="86"/>
      <c r="D478" s="24"/>
      <c r="E478" s="801"/>
      <c r="F478" s="24"/>
      <c r="G478" s="24"/>
      <c r="H478" s="11"/>
    </row>
    <row r="479" spans="1:8" ht="12.75">
      <c r="A479" s="788" t="s">
        <v>5</v>
      </c>
      <c r="B479" s="464"/>
      <c r="D479" s="24"/>
      <c r="E479" s="789" t="s">
        <v>6</v>
      </c>
      <c r="F479" s="24"/>
      <c r="G479" s="24"/>
      <c r="H479" s="11"/>
    </row>
    <row r="480" spans="1:8" ht="12.75">
      <c r="A480" s="286" t="s">
        <v>7</v>
      </c>
      <c r="B480" s="92"/>
      <c r="C480" s="24"/>
      <c r="D480" s="24"/>
      <c r="E480" s="11"/>
      <c r="F480" s="24"/>
      <c r="G480" s="24"/>
      <c r="H480" s="11"/>
    </row>
    <row r="481" spans="1:8" ht="12.75">
      <c r="A481" s="464"/>
      <c r="B481" s="790"/>
      <c r="C481" s="787"/>
      <c r="D481" s="24"/>
      <c r="E481" s="11"/>
      <c r="F481" s="24"/>
      <c r="G481" s="24"/>
      <c r="H481" s="11"/>
    </row>
    <row r="482" spans="1:8" ht="12.75">
      <c r="A482" s="11"/>
      <c r="B482" s="11"/>
      <c r="C482" s="11"/>
      <c r="D482" s="24"/>
      <c r="E482" s="11"/>
      <c r="F482" s="24"/>
      <c r="G482" s="24"/>
      <c r="H482" s="11"/>
    </row>
    <row r="483" spans="1:8" ht="12.75">
      <c r="A483" s="11"/>
      <c r="B483" s="11"/>
      <c r="C483" s="11"/>
      <c r="D483" s="24"/>
      <c r="E483" s="11"/>
      <c r="F483" s="24"/>
      <c r="G483" s="24"/>
      <c r="H483" s="11"/>
    </row>
    <row r="484" spans="1:8" ht="12.75">
      <c r="A484" s="11"/>
      <c r="B484" s="11"/>
      <c r="C484" s="11"/>
      <c r="D484" s="24"/>
      <c r="E484" s="11"/>
      <c r="F484" s="24"/>
      <c r="G484" s="24"/>
      <c r="H484" s="11"/>
    </row>
    <row r="485" spans="1:8" ht="12.75">
      <c r="A485" s="11"/>
      <c r="B485" s="11"/>
      <c r="C485" s="11"/>
      <c r="D485" s="24"/>
      <c r="E485" s="11"/>
      <c r="F485" s="24"/>
      <c r="G485" s="24"/>
      <c r="H485" s="11"/>
    </row>
    <row r="486" spans="1:8" ht="12.75">
      <c r="A486" s="11"/>
      <c r="B486" s="11"/>
      <c r="C486" s="11"/>
      <c r="D486" s="24"/>
      <c r="E486" s="11"/>
      <c r="F486" s="24"/>
      <c r="G486" s="24"/>
      <c r="H486" s="11"/>
    </row>
    <row r="487" spans="1:8" ht="12.75">
      <c r="A487" s="11"/>
      <c r="B487" s="11"/>
      <c r="C487" s="11"/>
      <c r="D487" s="24"/>
      <c r="E487" s="11"/>
      <c r="F487" s="24"/>
      <c r="G487" s="24"/>
      <c r="H487" s="11"/>
    </row>
    <row r="488" spans="1:8" ht="12.75">
      <c r="A488" s="11"/>
      <c r="B488" s="11"/>
      <c r="C488" s="11"/>
      <c r="D488" s="24"/>
      <c r="E488" s="11"/>
      <c r="F488" s="24"/>
      <c r="G488" s="24"/>
      <c r="H488" s="11"/>
    </row>
    <row r="489" spans="1:8" ht="12.75" hidden="1">
      <c r="A489" s="11"/>
      <c r="B489" s="11"/>
      <c r="C489" s="11"/>
      <c r="D489" s="24"/>
      <c r="E489" s="11"/>
      <c r="F489" s="24"/>
      <c r="G489" s="24"/>
      <c r="H489" s="11"/>
    </row>
    <row r="490" spans="1:8" ht="12.75" hidden="1">
      <c r="A490" s="11"/>
      <c r="B490" s="11"/>
      <c r="C490" s="11"/>
      <c r="D490" s="24"/>
      <c r="E490" s="11"/>
      <c r="F490" s="24"/>
      <c r="G490" s="24"/>
      <c r="H490" s="11"/>
    </row>
    <row r="491" spans="1:8" ht="12.75" hidden="1">
      <c r="A491" s="11"/>
      <c r="B491" s="11"/>
      <c r="C491" s="11"/>
      <c r="D491" s="24"/>
      <c r="E491" s="11"/>
      <c r="F491" s="24"/>
      <c r="G491" s="24"/>
      <c r="H491" s="11"/>
    </row>
    <row r="492" spans="1:8" ht="12.75" hidden="1">
      <c r="A492" s="11"/>
      <c r="B492" s="11"/>
      <c r="C492" s="11"/>
      <c r="D492" s="24"/>
      <c r="E492" s="11"/>
      <c r="F492" s="24"/>
      <c r="G492" s="24"/>
      <c r="H492" s="11"/>
    </row>
    <row r="493" spans="1:8" ht="12.75" hidden="1">
      <c r="A493" s="11"/>
      <c r="B493" s="11"/>
      <c r="C493" s="11"/>
      <c r="D493" s="24"/>
      <c r="E493" s="11"/>
      <c r="F493" s="24"/>
      <c r="G493" s="24"/>
      <c r="H493" s="11"/>
    </row>
    <row r="494" spans="1:8" ht="12.75" hidden="1">
      <c r="A494" s="11"/>
      <c r="B494" s="11"/>
      <c r="C494" s="11"/>
      <c r="D494" s="24"/>
      <c r="E494" s="11"/>
      <c r="F494" s="24"/>
      <c r="G494" s="24"/>
      <c r="H494" s="11"/>
    </row>
    <row r="495" spans="1:8" ht="12.75" hidden="1">
      <c r="A495" s="11"/>
      <c r="B495" s="11"/>
      <c r="C495" s="11"/>
      <c r="D495" s="24"/>
      <c r="E495" s="11"/>
      <c r="F495" s="24"/>
      <c r="G495" s="24"/>
      <c r="H495" s="11"/>
    </row>
    <row r="496" spans="1:8" ht="12.75" hidden="1">
      <c r="A496" s="11"/>
      <c r="B496" s="11"/>
      <c r="C496" s="11"/>
      <c r="D496" s="24"/>
      <c r="E496" s="11"/>
      <c r="F496" s="24"/>
      <c r="G496" s="24"/>
      <c r="H496" s="11"/>
    </row>
    <row r="497" spans="1:8" ht="12.75" hidden="1">
      <c r="A497" s="11"/>
      <c r="B497" s="11"/>
      <c r="C497" s="11"/>
      <c r="D497" s="24"/>
      <c r="E497" s="11"/>
      <c r="F497" s="24"/>
      <c r="G497" s="24"/>
      <c r="H497" s="11"/>
    </row>
    <row r="498" spans="1:8" ht="12.75" hidden="1">
      <c r="A498" s="11"/>
      <c r="B498" s="11"/>
      <c r="C498" s="11"/>
      <c r="D498" s="24"/>
      <c r="E498" s="11"/>
      <c r="F498" s="24"/>
      <c r="G498" s="24"/>
      <c r="H498" s="11"/>
    </row>
    <row r="499" spans="1:8" ht="12.75" hidden="1">
      <c r="A499" s="11"/>
      <c r="B499" s="11"/>
      <c r="C499" s="11"/>
      <c r="D499" s="24"/>
      <c r="E499" s="11"/>
      <c r="F499" s="24"/>
      <c r="G499" s="24"/>
      <c r="H499" s="11"/>
    </row>
    <row r="500" spans="1:8" ht="12.75" hidden="1">
      <c r="A500" s="11"/>
      <c r="B500" s="11"/>
      <c r="C500" s="11"/>
      <c r="D500" s="24"/>
      <c r="E500" s="11"/>
      <c r="F500" s="24"/>
      <c r="G500" s="24"/>
      <c r="H500" s="11"/>
    </row>
    <row r="501" spans="1:8" ht="12.75" hidden="1">
      <c r="A501" s="11"/>
      <c r="B501" s="11"/>
      <c r="C501" s="11"/>
      <c r="D501" s="24"/>
      <c r="E501" s="11"/>
      <c r="F501" s="24"/>
      <c r="G501" s="24"/>
      <c r="H501" s="11"/>
    </row>
    <row r="502" spans="1:8" ht="12.75" hidden="1">
      <c r="A502" s="11"/>
      <c r="B502" s="11"/>
      <c r="C502" s="11"/>
      <c r="D502" s="24"/>
      <c r="E502" s="11"/>
      <c r="F502" s="24"/>
      <c r="G502" s="24"/>
      <c r="H502" s="11"/>
    </row>
    <row r="503" spans="1:8" ht="12.75" hidden="1">
      <c r="A503" s="11"/>
      <c r="B503" s="11"/>
      <c r="C503" s="11"/>
      <c r="D503" s="24"/>
      <c r="E503" s="11"/>
      <c r="F503" s="24"/>
      <c r="G503" s="24"/>
      <c r="H503" s="11"/>
    </row>
    <row r="504" spans="1:8" ht="12.75" hidden="1">
      <c r="A504" s="11"/>
      <c r="B504" s="11"/>
      <c r="C504" s="11"/>
      <c r="D504" s="24"/>
      <c r="E504" s="11"/>
      <c r="F504" s="24"/>
      <c r="G504" s="24"/>
      <c r="H504" s="11"/>
    </row>
    <row r="505" spans="1:8" ht="12.75" hidden="1">
      <c r="A505" s="11"/>
      <c r="B505" s="11"/>
      <c r="C505" s="11"/>
      <c r="D505" s="24"/>
      <c r="E505" s="11"/>
      <c r="F505" s="24"/>
      <c r="G505" s="24"/>
      <c r="H505" s="11"/>
    </row>
    <row r="506" spans="1:8" ht="12.75" hidden="1">
      <c r="A506" s="11"/>
      <c r="B506" s="11"/>
      <c r="C506" s="11"/>
      <c r="D506" s="24"/>
      <c r="E506" s="11"/>
      <c r="F506" s="24"/>
      <c r="G506" s="24"/>
      <c r="H506" s="11"/>
    </row>
    <row r="507" spans="1:8" ht="12.75" hidden="1">
      <c r="A507" s="11"/>
      <c r="B507" s="11"/>
      <c r="C507" s="11"/>
      <c r="D507" s="24"/>
      <c r="E507" s="11"/>
      <c r="F507" s="24"/>
      <c r="G507" s="24"/>
      <c r="H507" s="11"/>
    </row>
    <row r="508" spans="1:8" ht="12.75" hidden="1">
      <c r="A508" s="11"/>
      <c r="B508" s="11"/>
      <c r="C508" s="11"/>
      <c r="D508" s="24"/>
      <c r="E508" s="11"/>
      <c r="F508" s="24"/>
      <c r="G508" s="24"/>
      <c r="H508" s="11"/>
    </row>
    <row r="509" spans="1:8" ht="12.75" hidden="1">
      <c r="A509" s="11"/>
      <c r="B509" s="11"/>
      <c r="C509" s="11"/>
      <c r="D509" s="24"/>
      <c r="E509" s="11"/>
      <c r="F509" s="24"/>
      <c r="G509" s="24"/>
      <c r="H509" s="11"/>
    </row>
    <row r="510" spans="1:8" ht="12.75" hidden="1">
      <c r="A510" s="11"/>
      <c r="B510" s="11"/>
      <c r="C510" s="11"/>
      <c r="D510" s="24"/>
      <c r="E510" s="11"/>
      <c r="F510" s="24"/>
      <c r="G510" s="24"/>
      <c r="H510" s="11"/>
    </row>
    <row r="511" spans="1:8" ht="12.75" hidden="1">
      <c r="A511" s="11"/>
      <c r="B511" s="11"/>
      <c r="C511" s="11"/>
      <c r="D511" s="24"/>
      <c r="E511" s="11"/>
      <c r="F511" s="24"/>
      <c r="G511" s="24"/>
      <c r="H511" s="11"/>
    </row>
    <row r="512" spans="1:8" ht="12.75" hidden="1">
      <c r="A512" s="11"/>
      <c r="B512" s="11"/>
      <c r="C512" s="11"/>
      <c r="D512" s="24"/>
      <c r="E512" s="11"/>
      <c r="F512" s="24"/>
      <c r="G512" s="24"/>
      <c r="H512" s="11"/>
    </row>
    <row r="513" spans="1:8" ht="12.75" hidden="1">
      <c r="A513" s="11"/>
      <c r="B513" s="11"/>
      <c r="C513" s="11"/>
      <c r="D513" s="24"/>
      <c r="E513" s="11"/>
      <c r="F513" s="24"/>
      <c r="G513" s="24"/>
      <c r="H513" s="11"/>
    </row>
    <row r="514" spans="1:8" ht="12.75" hidden="1">
      <c r="A514" s="11"/>
      <c r="B514" s="11"/>
      <c r="C514" s="11"/>
      <c r="D514" s="24"/>
      <c r="E514" s="11"/>
      <c r="F514" s="24"/>
      <c r="G514" s="24"/>
      <c r="H514" s="11"/>
    </row>
    <row r="515" spans="1:8" ht="12.75" hidden="1">
      <c r="A515" s="11"/>
      <c r="B515" s="11"/>
      <c r="C515" s="11"/>
      <c r="D515" s="24"/>
      <c r="E515" s="11"/>
      <c r="F515" s="24"/>
      <c r="G515" s="24"/>
      <c r="H515" s="11"/>
    </row>
    <row r="516" spans="1:8" ht="12.75" hidden="1">
      <c r="A516" s="11"/>
      <c r="B516" s="11"/>
      <c r="C516" s="11"/>
      <c r="D516" s="24"/>
      <c r="E516" s="11"/>
      <c r="F516" s="24"/>
      <c r="G516" s="24"/>
      <c r="H516" s="11"/>
    </row>
    <row r="517" spans="1:8" ht="12.75" hidden="1">
      <c r="A517" s="11"/>
      <c r="B517" s="11"/>
      <c r="C517" s="11"/>
      <c r="D517" s="24"/>
      <c r="E517" s="11"/>
      <c r="F517" s="24"/>
      <c r="G517" s="24"/>
      <c r="H517" s="11"/>
    </row>
    <row r="518" spans="1:8" ht="12.75" hidden="1">
      <c r="A518" s="11"/>
      <c r="B518" s="11"/>
      <c r="C518" s="11"/>
      <c r="D518" s="24"/>
      <c r="E518" s="11"/>
      <c r="F518" s="24"/>
      <c r="G518" s="24"/>
      <c r="H518" s="11"/>
    </row>
    <row r="519" spans="1:8" ht="12.75" hidden="1">
      <c r="A519" s="11"/>
      <c r="B519" s="11"/>
      <c r="C519" s="11"/>
      <c r="D519" s="24"/>
      <c r="E519" s="11"/>
      <c r="F519" s="24"/>
      <c r="G519" s="24"/>
      <c r="H519" s="11"/>
    </row>
    <row r="520" spans="1:8" ht="12.75" hidden="1">
      <c r="A520" s="11"/>
      <c r="B520" s="11"/>
      <c r="C520" s="11"/>
      <c r="D520" s="24"/>
      <c r="E520" s="11"/>
      <c r="F520" s="24"/>
      <c r="G520" s="24"/>
      <c r="H520" s="11"/>
    </row>
    <row r="521" spans="1:8" ht="12.75" hidden="1">
      <c r="A521" s="11"/>
      <c r="B521" s="11"/>
      <c r="C521" s="11"/>
      <c r="D521" s="24"/>
      <c r="E521" s="11"/>
      <c r="F521" s="24"/>
      <c r="G521" s="24"/>
      <c r="H521" s="11"/>
    </row>
    <row r="522" spans="1:8" ht="12.75" hidden="1">
      <c r="A522" s="11"/>
      <c r="B522" s="11"/>
      <c r="C522" s="11"/>
      <c r="D522" s="24"/>
      <c r="E522" s="11"/>
      <c r="F522" s="24"/>
      <c r="G522" s="24"/>
      <c r="H522" s="11"/>
    </row>
    <row r="523" spans="1:8" ht="12.75" hidden="1">
      <c r="A523" s="11"/>
      <c r="B523" s="11"/>
      <c r="C523" s="11"/>
      <c r="D523" s="24"/>
      <c r="E523" s="11"/>
      <c r="F523" s="24"/>
      <c r="G523" s="24"/>
      <c r="H523" s="11"/>
    </row>
    <row r="524" spans="1:8" ht="12.75" hidden="1">
      <c r="A524" s="11"/>
      <c r="B524" s="11"/>
      <c r="C524" s="11"/>
      <c r="D524" s="24"/>
      <c r="E524" s="11"/>
      <c r="F524" s="24"/>
      <c r="G524" s="24"/>
      <c r="H524" s="11"/>
    </row>
    <row r="525" spans="1:8" ht="12.75" hidden="1">
      <c r="A525" s="11"/>
      <c r="B525" s="11"/>
      <c r="C525" s="11"/>
      <c r="D525" s="24"/>
      <c r="E525" s="11"/>
      <c r="F525" s="24"/>
      <c r="G525" s="24"/>
      <c r="H525" s="11"/>
    </row>
    <row r="526" spans="1:8" ht="12.75" hidden="1">
      <c r="A526" s="11"/>
      <c r="B526" s="11"/>
      <c r="C526" s="11"/>
      <c r="D526" s="24"/>
      <c r="E526" s="11"/>
      <c r="F526" s="24"/>
      <c r="G526" s="24"/>
      <c r="H526" s="11"/>
    </row>
    <row r="527" spans="1:8" ht="12.75" hidden="1">
      <c r="A527" s="11"/>
      <c r="B527" s="11"/>
      <c r="C527" s="11"/>
      <c r="D527" s="24"/>
      <c r="E527" s="11"/>
      <c r="F527" s="24"/>
      <c r="G527" s="24"/>
      <c r="H527" s="11"/>
    </row>
    <row r="528" spans="1:8" ht="12.75" hidden="1">
      <c r="A528" s="11"/>
      <c r="B528" s="11"/>
      <c r="C528" s="11"/>
      <c r="D528" s="24"/>
      <c r="E528" s="11"/>
      <c r="F528" s="24"/>
      <c r="G528" s="24"/>
      <c r="H528" s="11"/>
    </row>
    <row r="529" spans="1:8" ht="12.75" hidden="1">
      <c r="A529" s="11"/>
      <c r="B529" s="11"/>
      <c r="C529" s="11"/>
      <c r="D529" s="24"/>
      <c r="E529" s="11"/>
      <c r="F529" s="24"/>
      <c r="G529" s="24"/>
      <c r="H529" s="11"/>
    </row>
    <row r="530" spans="1:8" ht="12.75" hidden="1">
      <c r="A530" s="11"/>
      <c r="B530" s="11"/>
      <c r="C530" s="11"/>
      <c r="D530" s="24"/>
      <c r="E530" s="11"/>
      <c r="F530" s="24"/>
      <c r="G530" s="24"/>
      <c r="H530" s="11"/>
    </row>
    <row r="531" spans="1:8" ht="12.75" hidden="1">
      <c r="A531" s="11"/>
      <c r="B531" s="11"/>
      <c r="C531" s="11"/>
      <c r="D531" s="24"/>
      <c r="E531" s="11"/>
      <c r="F531" s="24"/>
      <c r="G531" s="24"/>
      <c r="H531" s="11"/>
    </row>
    <row r="532" spans="1:8" ht="12.75" hidden="1">
      <c r="A532" s="11"/>
      <c r="B532" s="11"/>
      <c r="C532" s="11"/>
      <c r="D532" s="24"/>
      <c r="E532" s="11"/>
      <c r="F532" s="24"/>
      <c r="G532" s="24"/>
      <c r="H532" s="11"/>
    </row>
    <row r="533" spans="1:8" ht="12.75" hidden="1">
      <c r="A533" s="11"/>
      <c r="B533" s="11"/>
      <c r="C533" s="11"/>
      <c r="D533" s="24"/>
      <c r="E533" s="11"/>
      <c r="F533" s="24"/>
      <c r="G533" s="24"/>
      <c r="H533" s="11"/>
    </row>
    <row r="534" spans="1:8" ht="12.75" hidden="1">
      <c r="A534" s="11"/>
      <c r="B534" s="11"/>
      <c r="C534" s="11"/>
      <c r="D534" s="24"/>
      <c r="E534" s="11"/>
      <c r="F534" s="24"/>
      <c r="G534" s="24"/>
      <c r="H534" s="11"/>
    </row>
    <row r="535" spans="1:8" ht="12.75" hidden="1">
      <c r="A535" s="11"/>
      <c r="B535" s="11"/>
      <c r="C535" s="11"/>
      <c r="D535" s="24"/>
      <c r="E535" s="11"/>
      <c r="F535" s="24"/>
      <c r="G535" s="24"/>
      <c r="H535" s="11"/>
    </row>
    <row r="536" spans="1:8" ht="12.75" hidden="1">
      <c r="A536" s="11"/>
      <c r="B536" s="11"/>
      <c r="C536" s="11"/>
      <c r="D536" s="24"/>
      <c r="E536" s="11"/>
      <c r="F536" s="24"/>
      <c r="G536" s="24"/>
      <c r="H536" s="11"/>
    </row>
    <row r="537" spans="1:8" ht="12.75" hidden="1">
      <c r="A537" s="11"/>
      <c r="B537" s="11"/>
      <c r="C537" s="11"/>
      <c r="D537" s="24"/>
      <c r="E537" s="11"/>
      <c r="F537" s="24"/>
      <c r="G537" s="24"/>
      <c r="H537" s="11"/>
    </row>
    <row r="538" spans="1:8" ht="12.75" hidden="1">
      <c r="A538" s="11"/>
      <c r="B538" s="11"/>
      <c r="C538" s="11"/>
      <c r="D538" s="24"/>
      <c r="E538" s="11"/>
      <c r="F538" s="24"/>
      <c r="G538" s="24"/>
      <c r="H538" s="11"/>
    </row>
    <row r="539" spans="1:8" ht="12.75" hidden="1">
      <c r="A539" s="11"/>
      <c r="B539" s="11"/>
      <c r="C539" s="11"/>
      <c r="D539" s="24"/>
      <c r="E539" s="11"/>
      <c r="F539" s="24"/>
      <c r="G539" s="24"/>
      <c r="H539" s="11"/>
    </row>
    <row r="540" spans="1:8" ht="12.75" hidden="1">
      <c r="A540" s="11"/>
      <c r="B540" s="11"/>
      <c r="C540" s="11"/>
      <c r="D540" s="24"/>
      <c r="E540" s="11"/>
      <c r="F540" s="24"/>
      <c r="G540" s="24"/>
      <c r="H540" s="11"/>
    </row>
    <row r="541" spans="1:8" ht="12.75" hidden="1">
      <c r="A541" s="11"/>
      <c r="B541" s="11"/>
      <c r="C541" s="11"/>
      <c r="D541" s="24"/>
      <c r="E541" s="11"/>
      <c r="F541" s="24"/>
      <c r="G541" s="24"/>
      <c r="H541" s="11"/>
    </row>
    <row r="542" spans="1:8" ht="12.75" hidden="1">
      <c r="A542" s="11"/>
      <c r="B542" s="11"/>
      <c r="C542" s="11"/>
      <c r="D542" s="24"/>
      <c r="E542" s="11"/>
      <c r="F542" s="24"/>
      <c r="G542" s="24"/>
      <c r="H542" s="11"/>
    </row>
    <row r="543" spans="1:8" ht="12.75" hidden="1">
      <c r="A543" s="11"/>
      <c r="B543" s="11"/>
      <c r="C543" s="11"/>
      <c r="D543" s="24"/>
      <c r="E543" s="11"/>
      <c r="F543" s="24"/>
      <c r="G543" s="24"/>
      <c r="H543" s="11"/>
    </row>
    <row r="544" spans="1:8" ht="12.75" hidden="1">
      <c r="A544" s="11"/>
      <c r="B544" s="11"/>
      <c r="C544" s="11"/>
      <c r="D544" s="24"/>
      <c r="E544" s="11"/>
      <c r="F544" s="24"/>
      <c r="G544" s="24"/>
      <c r="H544" s="11"/>
    </row>
    <row r="545" spans="1:8" ht="12.75" hidden="1">
      <c r="A545" s="11"/>
      <c r="B545" s="11"/>
      <c r="C545" s="11"/>
      <c r="D545" s="24"/>
      <c r="E545" s="11"/>
      <c r="F545" s="24"/>
      <c r="G545" s="24"/>
      <c r="H545" s="11"/>
    </row>
    <row r="546" spans="1:8" ht="12.75" hidden="1">
      <c r="A546" s="11"/>
      <c r="B546" s="11"/>
      <c r="C546" s="11"/>
      <c r="D546" s="24"/>
      <c r="E546" s="11"/>
      <c r="F546" s="24"/>
      <c r="G546" s="24"/>
      <c r="H546" s="11"/>
    </row>
    <row r="547" spans="1:8" ht="12.75" hidden="1">
      <c r="A547" s="11"/>
      <c r="B547" s="11"/>
      <c r="C547" s="11"/>
      <c r="D547" s="24"/>
      <c r="E547" s="11"/>
      <c r="F547" s="24"/>
      <c r="G547" s="24"/>
      <c r="H547" s="11"/>
    </row>
    <row r="548" spans="1:8" ht="12.75" hidden="1">
      <c r="A548" s="11"/>
      <c r="B548" s="11"/>
      <c r="C548" s="11"/>
      <c r="D548" s="24"/>
      <c r="E548" s="11"/>
      <c r="F548" s="24"/>
      <c r="G548" s="24"/>
      <c r="H548" s="11"/>
    </row>
    <row r="549" spans="1:8" ht="12.75" hidden="1">
      <c r="A549" s="11"/>
      <c r="B549" s="11"/>
      <c r="C549" s="11"/>
      <c r="D549" s="24"/>
      <c r="E549" s="11"/>
      <c r="F549" s="24"/>
      <c r="G549" s="24"/>
      <c r="H549" s="11"/>
    </row>
    <row r="550" spans="1:8" ht="12.75" hidden="1">
      <c r="A550" s="11"/>
      <c r="B550" s="11"/>
      <c r="C550" s="11"/>
      <c r="D550" s="24"/>
      <c r="E550" s="11"/>
      <c r="F550" s="24"/>
      <c r="G550" s="24"/>
      <c r="H550" s="11"/>
    </row>
    <row r="551" spans="1:8" ht="12.75" hidden="1">
      <c r="A551" s="11"/>
      <c r="B551" s="11"/>
      <c r="C551" s="11"/>
      <c r="D551" s="24"/>
      <c r="E551" s="11"/>
      <c r="F551" s="24"/>
      <c r="G551" s="24"/>
      <c r="H551" s="11"/>
    </row>
    <row r="552" spans="1:8" ht="12.75" hidden="1">
      <c r="A552" s="11"/>
      <c r="B552" s="11"/>
      <c r="C552" s="11"/>
      <c r="D552" s="24"/>
      <c r="E552" s="11"/>
      <c r="F552" s="24"/>
      <c r="G552" s="24"/>
      <c r="H552" s="11"/>
    </row>
    <row r="553" spans="1:8" ht="12.75" hidden="1">
      <c r="A553" s="11"/>
      <c r="B553" s="11"/>
      <c r="C553" s="11"/>
      <c r="D553" s="24"/>
      <c r="E553" s="11"/>
      <c r="F553" s="24"/>
      <c r="G553" s="24"/>
      <c r="H553" s="11"/>
    </row>
    <row r="554" spans="1:8" ht="12.75" hidden="1">
      <c r="A554" s="11"/>
      <c r="B554" s="11"/>
      <c r="C554" s="11"/>
      <c r="D554" s="24"/>
      <c r="E554" s="11"/>
      <c r="F554" s="24"/>
      <c r="G554" s="24"/>
      <c r="H554" s="11"/>
    </row>
    <row r="555" spans="1:8" ht="12.75" hidden="1">
      <c r="A555" s="11"/>
      <c r="B555" s="11"/>
      <c r="C555" s="11"/>
      <c r="D555" s="24"/>
      <c r="E555" s="11"/>
      <c r="F555" s="24"/>
      <c r="G555" s="24"/>
      <c r="H555" s="11"/>
    </row>
    <row r="556" spans="1:8" ht="12.75" hidden="1">
      <c r="A556" s="11"/>
      <c r="B556" s="11"/>
      <c r="C556" s="11"/>
      <c r="D556" s="24"/>
      <c r="E556" s="11"/>
      <c r="F556" s="24"/>
      <c r="G556" s="24"/>
      <c r="H556" s="11"/>
    </row>
    <row r="557" spans="1:8" ht="12.75" hidden="1">
      <c r="A557" s="11"/>
      <c r="B557" s="11"/>
      <c r="C557" s="11"/>
      <c r="D557" s="24"/>
      <c r="E557" s="11"/>
      <c r="F557" s="24"/>
      <c r="G557" s="24"/>
      <c r="H557" s="11"/>
    </row>
    <row r="558" spans="1:8" ht="12.75" hidden="1">
      <c r="A558" s="11"/>
      <c r="B558" s="11"/>
      <c r="C558" s="11"/>
      <c r="D558" s="24"/>
      <c r="E558" s="11"/>
      <c r="F558" s="24"/>
      <c r="G558" s="24"/>
      <c r="H558" s="11"/>
    </row>
    <row r="559" spans="1:8" ht="12.75" hidden="1">
      <c r="A559" s="11"/>
      <c r="B559" s="11"/>
      <c r="C559" s="11"/>
      <c r="D559" s="24"/>
      <c r="E559" s="11"/>
      <c r="F559" s="24"/>
      <c r="G559" s="24"/>
      <c r="H559" s="11"/>
    </row>
    <row r="560" spans="1:8" ht="12.75" hidden="1">
      <c r="A560" s="11"/>
      <c r="B560" s="11"/>
      <c r="C560" s="11"/>
      <c r="D560" s="24"/>
      <c r="E560" s="11"/>
      <c r="F560" s="24"/>
      <c r="G560" s="24"/>
      <c r="H560" s="11"/>
    </row>
    <row r="561" spans="1:8" ht="12.75" hidden="1">
      <c r="A561" s="11"/>
      <c r="B561" s="11"/>
      <c r="C561" s="11"/>
      <c r="D561" s="24"/>
      <c r="E561" s="11"/>
      <c r="F561" s="24"/>
      <c r="G561" s="24"/>
      <c r="H561" s="11"/>
    </row>
    <row r="562" spans="1:8" ht="12.75" hidden="1">
      <c r="A562" s="11"/>
      <c r="B562" s="11"/>
      <c r="C562" s="11"/>
      <c r="D562" s="24"/>
      <c r="E562" s="11"/>
      <c r="F562" s="24"/>
      <c r="G562" s="24"/>
      <c r="H562" s="11"/>
    </row>
    <row r="563" spans="1:8" ht="12.75" hidden="1">
      <c r="A563" s="11"/>
      <c r="B563" s="11"/>
      <c r="C563" s="11"/>
      <c r="D563" s="24"/>
      <c r="E563" s="11"/>
      <c r="F563" s="24"/>
      <c r="G563" s="24"/>
      <c r="H563" s="11"/>
    </row>
    <row r="564" spans="1:8" ht="12.75" hidden="1">
      <c r="A564" s="11"/>
      <c r="B564" s="11"/>
      <c r="C564" s="11"/>
      <c r="D564" s="24"/>
      <c r="E564" s="11"/>
      <c r="F564" s="24"/>
      <c r="G564" s="24"/>
      <c r="H564" s="11"/>
    </row>
    <row r="565" spans="1:8" ht="12.75" hidden="1">
      <c r="A565" s="11"/>
      <c r="B565" s="11"/>
      <c r="C565" s="11"/>
      <c r="D565" s="24"/>
      <c r="E565" s="11"/>
      <c r="F565" s="24"/>
      <c r="G565" s="24"/>
      <c r="H565" s="11"/>
    </row>
    <row r="566" spans="1:8" ht="12.75" hidden="1">
      <c r="A566" s="11"/>
      <c r="B566" s="11"/>
      <c r="C566" s="11"/>
      <c r="D566" s="24"/>
      <c r="E566" s="11"/>
      <c r="F566" s="24"/>
      <c r="G566" s="24"/>
      <c r="H566" s="11"/>
    </row>
    <row r="567" spans="1:8" ht="12.75" hidden="1">
      <c r="A567" s="11"/>
      <c r="B567" s="11"/>
      <c r="C567" s="11"/>
      <c r="D567" s="24"/>
      <c r="E567" s="11"/>
      <c r="F567" s="24"/>
      <c r="G567" s="24"/>
      <c r="H567" s="11"/>
    </row>
    <row r="568" spans="1:8" ht="12.75" hidden="1">
      <c r="A568" s="11"/>
      <c r="B568" s="11"/>
      <c r="C568" s="11"/>
      <c r="D568" s="24"/>
      <c r="E568" s="11"/>
      <c r="F568" s="24"/>
      <c r="G568" s="24"/>
      <c r="H568" s="11"/>
    </row>
    <row r="569" spans="1:8" ht="12.75" hidden="1">
      <c r="A569" s="11"/>
      <c r="B569" s="11"/>
      <c r="C569" s="11"/>
      <c r="D569" s="24"/>
      <c r="E569" s="11"/>
      <c r="F569" s="24"/>
      <c r="G569" s="24"/>
      <c r="H569" s="11"/>
    </row>
    <row r="570" spans="1:8" ht="12.75" hidden="1">
      <c r="A570" s="11"/>
      <c r="B570" s="11"/>
      <c r="C570" s="11"/>
      <c r="D570" s="24"/>
      <c r="E570" s="11"/>
      <c r="F570" s="24"/>
      <c r="G570" s="24"/>
      <c r="H570" s="11"/>
    </row>
    <row r="571" spans="1:8" ht="12.75" hidden="1">
      <c r="A571" s="11"/>
      <c r="B571" s="11"/>
      <c r="C571" s="11"/>
      <c r="D571" s="24"/>
      <c r="E571" s="11"/>
      <c r="F571" s="24"/>
      <c r="G571" s="24"/>
      <c r="H571" s="11"/>
    </row>
    <row r="572" spans="1:8" ht="12.75" hidden="1">
      <c r="A572" s="11"/>
      <c r="B572" s="11"/>
      <c r="C572" s="11"/>
      <c r="D572" s="24"/>
      <c r="E572" s="11"/>
      <c r="F572" s="24"/>
      <c r="G572" s="24"/>
      <c r="H572" s="11"/>
    </row>
    <row r="573" spans="1:8" ht="12.75" hidden="1">
      <c r="A573" s="11"/>
      <c r="B573" s="11"/>
      <c r="C573" s="11"/>
      <c r="D573" s="24"/>
      <c r="E573" s="11"/>
      <c r="F573" s="24"/>
      <c r="G573" s="24"/>
      <c r="H573" s="11"/>
    </row>
    <row r="574" spans="1:8" ht="12.75" hidden="1">
      <c r="A574" s="11"/>
      <c r="B574" s="11"/>
      <c r="C574" s="11"/>
      <c r="D574" s="24"/>
      <c r="E574" s="11"/>
      <c r="F574" s="24"/>
      <c r="G574" s="24"/>
      <c r="H574" s="11"/>
    </row>
    <row r="575" spans="1:8" ht="12.75" hidden="1">
      <c r="A575" s="11"/>
      <c r="B575" s="11"/>
      <c r="C575" s="11"/>
      <c r="D575" s="24"/>
      <c r="E575" s="11"/>
      <c r="F575" s="24"/>
      <c r="G575" s="24"/>
      <c r="H575" s="11"/>
    </row>
    <row r="576" spans="1:8" ht="12.75" hidden="1">
      <c r="A576" s="11"/>
      <c r="B576" s="11"/>
      <c r="C576" s="11"/>
      <c r="D576" s="24"/>
      <c r="E576" s="11"/>
      <c r="F576" s="24"/>
      <c r="G576" s="24"/>
      <c r="H576" s="11"/>
    </row>
    <row r="577" spans="1:8" ht="12.75" hidden="1">
      <c r="A577" s="11"/>
      <c r="B577" s="11"/>
      <c r="C577" s="11"/>
      <c r="D577" s="24"/>
      <c r="E577" s="11"/>
      <c r="F577" s="24"/>
      <c r="G577" s="24"/>
      <c r="H577" s="11"/>
    </row>
    <row r="578" spans="1:8" ht="12.75" hidden="1">
      <c r="A578" s="11"/>
      <c r="B578" s="11"/>
      <c r="C578" s="11"/>
      <c r="D578" s="24"/>
      <c r="E578" s="11"/>
      <c r="F578" s="24"/>
      <c r="G578" s="24"/>
      <c r="H578" s="11"/>
    </row>
    <row r="579" spans="1:8" ht="12.75" hidden="1">
      <c r="A579" s="11"/>
      <c r="B579" s="11"/>
      <c r="C579" s="11"/>
      <c r="D579" s="24"/>
      <c r="E579" s="11"/>
      <c r="F579" s="24"/>
      <c r="G579" s="24"/>
      <c r="H579" s="11"/>
    </row>
    <row r="580" spans="1:8" ht="12.75" hidden="1">
      <c r="A580" s="11"/>
      <c r="B580" s="11"/>
      <c r="C580" s="11"/>
      <c r="D580" s="24"/>
      <c r="E580" s="11"/>
      <c r="F580" s="24"/>
      <c r="G580" s="24"/>
      <c r="H580" s="11"/>
    </row>
    <row r="581" spans="1:8" ht="12.75" hidden="1">
      <c r="A581" s="11"/>
      <c r="B581" s="11"/>
      <c r="C581" s="11"/>
      <c r="D581" s="24"/>
      <c r="E581" s="11"/>
      <c r="F581" s="24"/>
      <c r="G581" s="24"/>
      <c r="H581" s="11"/>
    </row>
    <row r="582" spans="1:8" ht="12.75" hidden="1">
      <c r="A582" s="11"/>
      <c r="B582" s="11"/>
      <c r="C582" s="11"/>
      <c r="D582" s="24"/>
      <c r="E582" s="11"/>
      <c r="F582" s="24"/>
      <c r="G582" s="24"/>
      <c r="H582" s="11"/>
    </row>
    <row r="583" spans="1:8" ht="12.75" hidden="1">
      <c r="A583" s="11"/>
      <c r="B583" s="11"/>
      <c r="C583" s="11"/>
      <c r="D583" s="24"/>
      <c r="E583" s="11"/>
      <c r="F583" s="24"/>
      <c r="G583" s="24"/>
      <c r="H583" s="11"/>
    </row>
    <row r="584" spans="1:8" ht="12.75" hidden="1">
      <c r="A584" s="11"/>
      <c r="B584" s="11"/>
      <c r="C584" s="11"/>
      <c r="D584" s="24"/>
      <c r="E584" s="11"/>
      <c r="F584" s="24"/>
      <c r="G584" s="24"/>
      <c r="H584" s="11"/>
    </row>
    <row r="585" spans="1:8" ht="12.75" hidden="1">
      <c r="A585" s="11"/>
      <c r="B585" s="11"/>
      <c r="C585" s="11"/>
      <c r="D585" s="24"/>
      <c r="E585" s="11"/>
      <c r="F585" s="24"/>
      <c r="G585" s="24"/>
      <c r="H585" s="11"/>
    </row>
    <row r="586" spans="1:8" ht="12.75" hidden="1">
      <c r="A586" s="11"/>
      <c r="B586" s="11"/>
      <c r="C586" s="11"/>
      <c r="D586" s="24"/>
      <c r="E586" s="11"/>
      <c r="F586" s="24"/>
      <c r="G586" s="24"/>
      <c r="H586" s="11"/>
    </row>
    <row r="587" spans="1:8" ht="12.75" hidden="1">
      <c r="A587" s="11"/>
      <c r="B587" s="11"/>
      <c r="C587" s="11"/>
      <c r="D587" s="24"/>
      <c r="E587" s="11"/>
      <c r="F587" s="24"/>
      <c r="G587" s="24"/>
      <c r="H587" s="11"/>
    </row>
    <row r="588" spans="1:8" ht="12.75" hidden="1">
      <c r="A588" s="11"/>
      <c r="B588" s="11"/>
      <c r="C588" s="11"/>
      <c r="D588" s="24"/>
      <c r="E588" s="11"/>
      <c r="F588" s="24"/>
      <c r="G588" s="24"/>
      <c r="H588" s="11"/>
    </row>
    <row r="589" spans="1:8" ht="12.75" hidden="1">
      <c r="A589" s="11"/>
      <c r="B589" s="11"/>
      <c r="C589" s="11"/>
      <c r="D589" s="24"/>
      <c r="E589" s="11"/>
      <c r="F589" s="24"/>
      <c r="G589" s="24"/>
      <c r="H589" s="11"/>
    </row>
    <row r="590" spans="1:8" ht="12.75" hidden="1">
      <c r="A590" s="11"/>
      <c r="B590" s="11"/>
      <c r="C590" s="11"/>
      <c r="D590" s="24"/>
      <c r="E590" s="11"/>
      <c r="F590" s="24"/>
      <c r="G590" s="24"/>
      <c r="H590" s="11"/>
    </row>
    <row r="591" spans="1:8" ht="12.75" hidden="1">
      <c r="A591" s="11"/>
      <c r="B591" s="11"/>
      <c r="C591" s="11"/>
      <c r="D591" s="24"/>
      <c r="E591" s="11"/>
      <c r="F591" s="24"/>
      <c r="G591" s="24"/>
      <c r="H591" s="11"/>
    </row>
    <row r="592" spans="1:8" ht="12.75" hidden="1">
      <c r="A592" s="11"/>
      <c r="B592" s="11"/>
      <c r="C592" s="11"/>
      <c r="D592" s="24"/>
      <c r="E592" s="11"/>
      <c r="F592" s="24"/>
      <c r="G592" s="24"/>
      <c r="H592" s="11"/>
    </row>
    <row r="593" spans="1:8" ht="12.75" hidden="1">
      <c r="A593" s="11"/>
      <c r="B593" s="11"/>
      <c r="C593" s="11"/>
      <c r="D593" s="24"/>
      <c r="E593" s="11"/>
      <c r="F593" s="24"/>
      <c r="G593" s="24"/>
      <c r="H593" s="11"/>
    </row>
    <row r="594" spans="1:8" ht="12.75" hidden="1">
      <c r="A594" s="11"/>
      <c r="B594" s="11"/>
      <c r="C594" s="11"/>
      <c r="D594" s="24"/>
      <c r="E594" s="11"/>
      <c r="F594" s="24"/>
      <c r="G594" s="24"/>
      <c r="H594" s="11"/>
    </row>
    <row r="595" spans="1:8" ht="12.75" hidden="1">
      <c r="A595" s="11"/>
      <c r="B595" s="11"/>
      <c r="C595" s="11"/>
      <c r="D595" s="24"/>
      <c r="E595" s="11"/>
      <c r="F595" s="24"/>
      <c r="G595" s="24"/>
      <c r="H595" s="11"/>
    </row>
    <row r="596" spans="1:8" ht="12.75" hidden="1">
      <c r="A596" s="11"/>
      <c r="B596" s="11"/>
      <c r="C596" s="11"/>
      <c r="D596" s="24"/>
      <c r="E596" s="11"/>
      <c r="F596" s="24"/>
      <c r="G596" s="24"/>
      <c r="H596" s="11"/>
    </row>
    <row r="597" spans="1:8" ht="12.75" hidden="1">
      <c r="A597" s="11"/>
      <c r="B597" s="11"/>
      <c r="C597" s="11"/>
      <c r="D597" s="24"/>
      <c r="E597" s="11"/>
      <c r="F597" s="24"/>
      <c r="G597" s="24"/>
      <c r="H597" s="11"/>
    </row>
    <row r="598" spans="1:8" ht="12.75" hidden="1">
      <c r="A598" s="11"/>
      <c r="B598" s="11"/>
      <c r="C598" s="11"/>
      <c r="D598" s="24"/>
      <c r="E598" s="11"/>
      <c r="F598" s="24"/>
      <c r="G598" s="24"/>
      <c r="H598" s="11"/>
    </row>
    <row r="599" spans="1:8" ht="12.75" hidden="1">
      <c r="A599" s="11"/>
      <c r="B599" s="11"/>
      <c r="C599" s="11"/>
      <c r="D599" s="24"/>
      <c r="E599" s="11"/>
      <c r="F599" s="24"/>
      <c r="G599" s="24"/>
      <c r="H599" s="11"/>
    </row>
    <row r="600" spans="1:8" ht="12.75" hidden="1">
      <c r="A600" s="11"/>
      <c r="B600" s="11"/>
      <c r="C600" s="11"/>
      <c r="D600" s="24"/>
      <c r="E600" s="11"/>
      <c r="F600" s="24"/>
      <c r="G600" s="24"/>
      <c r="H600" s="11"/>
    </row>
    <row r="601" spans="1:8" ht="12.75" hidden="1">
      <c r="A601" s="11"/>
      <c r="B601" s="11"/>
      <c r="C601" s="11"/>
      <c r="D601" s="24"/>
      <c r="E601" s="11"/>
      <c r="F601" s="24"/>
      <c r="G601" s="24"/>
      <c r="H601" s="11"/>
    </row>
    <row r="602" spans="1:8" ht="12.75" hidden="1">
      <c r="A602" s="11"/>
      <c r="B602" s="11"/>
      <c r="C602" s="11"/>
      <c r="D602" s="24"/>
      <c r="E602" s="11"/>
      <c r="F602" s="24"/>
      <c r="G602" s="24"/>
      <c r="H602" s="11"/>
    </row>
    <row r="603" spans="1:8" ht="12.75" hidden="1">
      <c r="A603" s="11"/>
      <c r="B603" s="11"/>
      <c r="C603" s="11"/>
      <c r="D603" s="24"/>
      <c r="E603" s="11"/>
      <c r="F603" s="24"/>
      <c r="G603" s="24"/>
      <c r="H603" s="11"/>
    </row>
    <row r="604" spans="1:8" ht="12.75" hidden="1">
      <c r="A604" s="11"/>
      <c r="B604" s="11"/>
      <c r="C604" s="11"/>
      <c r="D604" s="24"/>
      <c r="E604" s="11"/>
      <c r="F604" s="24"/>
      <c r="G604" s="24"/>
      <c r="H604" s="11"/>
    </row>
    <row r="605" spans="1:8" ht="12.75" hidden="1">
      <c r="A605" s="11"/>
      <c r="B605" s="11"/>
      <c r="C605" s="11"/>
      <c r="D605" s="24"/>
      <c r="E605" s="11"/>
      <c r="F605" s="24"/>
      <c r="G605" s="24"/>
      <c r="H605" s="11"/>
    </row>
    <row r="606" spans="1:8" ht="12.75" hidden="1">
      <c r="A606" s="11"/>
      <c r="B606" s="11"/>
      <c r="C606" s="11"/>
      <c r="D606" s="24"/>
      <c r="E606" s="11"/>
      <c r="F606" s="24"/>
      <c r="G606" s="24"/>
      <c r="H606" s="11"/>
    </row>
    <row r="607" spans="1:8" ht="12.75" hidden="1">
      <c r="A607" s="11"/>
      <c r="B607" s="11"/>
      <c r="C607" s="11"/>
      <c r="D607" s="24"/>
      <c r="E607" s="11"/>
      <c r="F607" s="24"/>
      <c r="G607" s="24"/>
      <c r="H607" s="11"/>
    </row>
    <row r="608" spans="1:8" ht="12.75" hidden="1">
      <c r="A608" s="11"/>
      <c r="B608" s="11"/>
      <c r="C608" s="11"/>
      <c r="D608" s="24"/>
      <c r="E608" s="11"/>
      <c r="F608" s="24"/>
      <c r="G608" s="24"/>
      <c r="H608" s="11"/>
    </row>
    <row r="609" spans="1:8" ht="12.75" hidden="1">
      <c r="A609" s="11"/>
      <c r="B609" s="11"/>
      <c r="C609" s="11"/>
      <c r="D609" s="24"/>
      <c r="E609" s="11"/>
      <c r="F609" s="24"/>
      <c r="G609" s="24"/>
      <c r="H609" s="11"/>
    </row>
    <row r="610" spans="1:8" ht="12.75" hidden="1">
      <c r="A610" s="11"/>
      <c r="B610" s="11"/>
      <c r="C610" s="11"/>
      <c r="D610" s="24"/>
      <c r="E610" s="11"/>
      <c r="F610" s="24"/>
      <c r="G610" s="24"/>
      <c r="H610" s="11"/>
    </row>
    <row r="611" spans="1:8" ht="12.75" hidden="1">
      <c r="A611" s="11"/>
      <c r="B611" s="11"/>
      <c r="C611" s="11"/>
      <c r="D611" s="24"/>
      <c r="E611" s="11"/>
      <c r="F611" s="24"/>
      <c r="G611" s="24"/>
      <c r="H611" s="11"/>
    </row>
    <row r="612" spans="1:8" ht="12.75" hidden="1">
      <c r="A612" s="11"/>
      <c r="B612" s="11"/>
      <c r="C612" s="11"/>
      <c r="D612" s="24"/>
      <c r="E612" s="11"/>
      <c r="F612" s="24"/>
      <c r="G612" s="24"/>
      <c r="H612" s="11"/>
    </row>
    <row r="613" spans="1:8" ht="12.75" hidden="1">
      <c r="A613" s="11"/>
      <c r="B613" s="11"/>
      <c r="C613" s="11"/>
      <c r="D613" s="24"/>
      <c r="E613" s="11"/>
      <c r="F613" s="24"/>
      <c r="G613" s="24"/>
      <c r="H613" s="11"/>
    </row>
    <row r="614" spans="1:8" ht="12.75" hidden="1">
      <c r="A614" s="11"/>
      <c r="B614" s="11"/>
      <c r="C614" s="11"/>
      <c r="D614" s="24"/>
      <c r="E614" s="11"/>
      <c r="F614" s="24"/>
      <c r="G614" s="24"/>
      <c r="H614" s="11"/>
    </row>
    <row r="615" spans="1:8" ht="12.75" hidden="1">
      <c r="A615" s="11"/>
      <c r="B615" s="11"/>
      <c r="C615" s="11"/>
      <c r="D615" s="24"/>
      <c r="E615" s="11"/>
      <c r="F615" s="24"/>
      <c r="G615" s="24"/>
      <c r="H615" s="11"/>
    </row>
    <row r="616" spans="1:8" ht="12.75" hidden="1">
      <c r="A616" s="11"/>
      <c r="B616" s="11"/>
      <c r="C616" s="11"/>
      <c r="D616" s="24"/>
      <c r="E616" s="11"/>
      <c r="F616" s="24"/>
      <c r="G616" s="24"/>
      <c r="H616" s="11"/>
    </row>
    <row r="617" spans="1:8" ht="12.75" hidden="1">
      <c r="A617" s="11"/>
      <c r="B617" s="11"/>
      <c r="C617" s="11"/>
      <c r="D617" s="24"/>
      <c r="E617" s="11"/>
      <c r="F617" s="24"/>
      <c r="G617" s="24"/>
      <c r="H617" s="11"/>
    </row>
    <row r="618" spans="1:8" ht="12.75" hidden="1">
      <c r="A618" s="11"/>
      <c r="B618" s="11"/>
      <c r="C618" s="11"/>
      <c r="D618" s="24"/>
      <c r="E618" s="11"/>
      <c r="F618" s="24"/>
      <c r="G618" s="24"/>
      <c r="H618" s="11"/>
    </row>
    <row r="619" spans="1:8" ht="12.75" hidden="1">
      <c r="A619" s="11"/>
      <c r="B619" s="11"/>
      <c r="C619" s="11"/>
      <c r="D619" s="24"/>
      <c r="E619" s="11"/>
      <c r="F619" s="24"/>
      <c r="G619" s="24"/>
      <c r="H619" s="11"/>
    </row>
    <row r="620" spans="1:8" ht="12.75" hidden="1">
      <c r="A620" s="11"/>
      <c r="B620" s="11"/>
      <c r="C620" s="11"/>
      <c r="D620" s="24"/>
      <c r="E620" s="11"/>
      <c r="F620" s="24"/>
      <c r="G620" s="24"/>
      <c r="H620" s="11"/>
    </row>
    <row r="621" spans="1:8" ht="12.75" hidden="1">
      <c r="A621" s="11"/>
      <c r="B621" s="11"/>
      <c r="C621" s="11"/>
      <c r="D621" s="24"/>
      <c r="E621" s="11"/>
      <c r="F621" s="24"/>
      <c r="G621" s="24"/>
      <c r="H621" s="11"/>
    </row>
    <row r="622" spans="1:8" ht="12.75" hidden="1">
      <c r="A622" s="11"/>
      <c r="B622" s="11"/>
      <c r="C622" s="11"/>
      <c r="D622" s="24"/>
      <c r="E622" s="11"/>
      <c r="F622" s="24"/>
      <c r="G622" s="24"/>
      <c r="H622" s="11"/>
    </row>
    <row r="623" spans="1:8" ht="12.75" hidden="1">
      <c r="A623" s="11"/>
      <c r="B623" s="11"/>
      <c r="C623" s="11"/>
      <c r="D623" s="24"/>
      <c r="E623" s="11"/>
      <c r="F623" s="24"/>
      <c r="G623" s="24"/>
      <c r="H623" s="11"/>
    </row>
    <row r="624" spans="1:8" ht="12.75" hidden="1">
      <c r="A624" s="11"/>
      <c r="B624" s="11"/>
      <c r="C624" s="11"/>
      <c r="D624" s="24"/>
      <c r="E624" s="11"/>
      <c r="F624" s="24"/>
      <c r="G624" s="24"/>
      <c r="H624" s="11"/>
    </row>
    <row r="625" spans="1:8" ht="12.75" hidden="1">
      <c r="A625" s="11"/>
      <c r="B625" s="11"/>
      <c r="C625" s="11"/>
      <c r="D625" s="24"/>
      <c r="E625" s="11"/>
      <c r="F625" s="24"/>
      <c r="G625" s="24"/>
      <c r="H625" s="11"/>
    </row>
    <row r="626" spans="1:8" ht="12.75" hidden="1">
      <c r="A626" s="11"/>
      <c r="B626" s="11"/>
      <c r="C626" s="11"/>
      <c r="D626" s="24"/>
      <c r="E626" s="11"/>
      <c r="F626" s="24"/>
      <c r="G626" s="24"/>
      <c r="H626" s="11"/>
    </row>
    <row r="627" spans="1:8" ht="12.75" hidden="1">
      <c r="A627" s="11"/>
      <c r="B627" s="11"/>
      <c r="C627" s="11"/>
      <c r="D627" s="24"/>
      <c r="E627" s="11"/>
      <c r="F627" s="24"/>
      <c r="G627" s="24"/>
      <c r="H627" s="11"/>
    </row>
    <row r="628" spans="1:8" ht="12.75" hidden="1">
      <c r="A628" s="11"/>
      <c r="B628" s="11"/>
      <c r="C628" s="11"/>
      <c r="D628" s="24"/>
      <c r="E628" s="11"/>
      <c r="F628" s="24"/>
      <c r="G628" s="24"/>
      <c r="H628" s="11"/>
    </row>
    <row r="629" spans="1:8" ht="12.75" hidden="1">
      <c r="A629" s="11"/>
      <c r="B629" s="11"/>
      <c r="C629" s="11"/>
      <c r="D629" s="24"/>
      <c r="E629" s="11"/>
      <c r="F629" s="24"/>
      <c r="G629" s="24"/>
      <c r="H629" s="11"/>
    </row>
    <row r="630" spans="1:8" ht="12.75" hidden="1">
      <c r="A630" s="11"/>
      <c r="B630" s="11"/>
      <c r="C630" s="11"/>
      <c r="D630" s="24"/>
      <c r="E630" s="11"/>
      <c r="F630" s="24"/>
      <c r="G630" s="24"/>
      <c r="H630" s="11"/>
    </row>
    <row r="631" spans="1:8" ht="12.75" hidden="1">
      <c r="A631" s="11"/>
      <c r="B631" s="11"/>
      <c r="C631" s="11"/>
      <c r="D631" s="24"/>
      <c r="E631" s="11"/>
      <c r="F631" s="24"/>
      <c r="G631" s="24"/>
      <c r="H631" s="11"/>
    </row>
    <row r="632" spans="1:8" ht="12.75" hidden="1">
      <c r="A632" s="11"/>
      <c r="B632" s="11"/>
      <c r="C632" s="11"/>
      <c r="D632" s="24"/>
      <c r="E632" s="11"/>
      <c r="F632" s="24"/>
      <c r="G632" s="24"/>
      <c r="H632" s="11"/>
    </row>
    <row r="633" spans="1:8" ht="12.75" hidden="1">
      <c r="A633" s="11"/>
      <c r="B633" s="11"/>
      <c r="C633" s="11"/>
      <c r="D633" s="24"/>
      <c r="E633" s="11"/>
      <c r="F633" s="24"/>
      <c r="G633" s="24"/>
      <c r="H633" s="11"/>
    </row>
    <row r="634" spans="1:8" ht="12.75" hidden="1">
      <c r="A634" s="11"/>
      <c r="B634" s="11"/>
      <c r="C634" s="11"/>
      <c r="D634" s="24"/>
      <c r="E634" s="11"/>
      <c r="F634" s="24"/>
      <c r="G634" s="24"/>
      <c r="H634" s="11"/>
    </row>
    <row r="635" spans="1:8" ht="12.75" hidden="1">
      <c r="A635" s="11"/>
      <c r="B635" s="11"/>
      <c r="C635" s="11"/>
      <c r="D635" s="24"/>
      <c r="E635" s="11"/>
      <c r="F635" s="24"/>
      <c r="G635" s="24"/>
      <c r="H635" s="11"/>
    </row>
    <row r="636" spans="1:8" ht="12.75" hidden="1">
      <c r="A636" s="11"/>
      <c r="B636" s="11"/>
      <c r="C636" s="11"/>
      <c r="D636" s="24"/>
      <c r="E636" s="11"/>
      <c r="F636" s="24"/>
      <c r="G636" s="24"/>
      <c r="H636" s="11"/>
    </row>
    <row r="637" spans="1:8" ht="12.75" hidden="1">
      <c r="A637" s="11"/>
      <c r="B637" s="11"/>
      <c r="C637" s="11"/>
      <c r="D637" s="24"/>
      <c r="E637" s="11"/>
      <c r="F637" s="24"/>
      <c r="G637" s="24"/>
      <c r="H637" s="11"/>
    </row>
    <row r="638" spans="1:8" ht="12.75" hidden="1">
      <c r="A638" s="11"/>
      <c r="B638" s="11"/>
      <c r="C638" s="11"/>
      <c r="D638" s="24"/>
      <c r="E638" s="11"/>
      <c r="F638" s="24"/>
      <c r="G638" s="24"/>
      <c r="H638" s="11"/>
    </row>
    <row r="639" spans="1:8" ht="12.75" hidden="1">
      <c r="A639" s="11"/>
      <c r="B639" s="11"/>
      <c r="C639" s="11"/>
      <c r="D639" s="24"/>
      <c r="E639" s="11"/>
      <c r="F639" s="24"/>
      <c r="G639" s="24"/>
      <c r="H639" s="11"/>
    </row>
    <row r="640" spans="1:8" ht="12.75" hidden="1">
      <c r="A640" s="11"/>
      <c r="B640" s="11"/>
      <c r="C640" s="11"/>
      <c r="D640" s="24"/>
      <c r="E640" s="11"/>
      <c r="F640" s="24"/>
      <c r="G640" s="24"/>
      <c r="H640" s="11"/>
    </row>
    <row r="641" spans="1:8" ht="12.75" hidden="1">
      <c r="A641" s="11"/>
      <c r="B641" s="11"/>
      <c r="C641" s="11"/>
      <c r="D641" s="24"/>
      <c r="E641" s="11"/>
      <c r="F641" s="24"/>
      <c r="G641" s="24"/>
      <c r="H641" s="11"/>
    </row>
    <row r="642" spans="1:8" ht="12.75" hidden="1">
      <c r="A642" s="11"/>
      <c r="B642" s="11"/>
      <c r="C642" s="11"/>
      <c r="D642" s="24"/>
      <c r="E642" s="11"/>
      <c r="F642" s="24"/>
      <c r="G642" s="24"/>
      <c r="H642" s="11"/>
    </row>
    <row r="643" spans="1:8" ht="12.75" hidden="1">
      <c r="A643" s="11"/>
      <c r="B643" s="11"/>
      <c r="C643" s="11"/>
      <c r="D643" s="24"/>
      <c r="E643" s="11"/>
      <c r="F643" s="24"/>
      <c r="G643" s="24"/>
      <c r="H643" s="11"/>
    </row>
    <row r="644" spans="1:8" ht="12.75" hidden="1">
      <c r="A644" s="11"/>
      <c r="B644" s="11"/>
      <c r="C644" s="11"/>
      <c r="D644" s="24"/>
      <c r="E644" s="11"/>
      <c r="F644" s="24"/>
      <c r="G644" s="24"/>
      <c r="H644" s="11"/>
    </row>
    <row r="645" spans="1:8" ht="12.75" hidden="1">
      <c r="A645" s="11"/>
      <c r="B645" s="11"/>
      <c r="C645" s="11"/>
      <c r="D645" s="24"/>
      <c r="E645" s="11"/>
      <c r="F645" s="24"/>
      <c r="G645" s="24"/>
      <c r="H645" s="11"/>
    </row>
    <row r="646" spans="1:8" ht="12.75" hidden="1">
      <c r="A646" s="11"/>
      <c r="B646" s="11"/>
      <c r="C646" s="11"/>
      <c r="D646" s="24"/>
      <c r="E646" s="11"/>
      <c r="F646" s="24"/>
      <c r="G646" s="24"/>
      <c r="H646" s="11"/>
    </row>
    <row r="647" spans="1:8" ht="12.75" hidden="1">
      <c r="A647" s="11"/>
      <c r="B647" s="11"/>
      <c r="C647" s="11"/>
      <c r="D647" s="24"/>
      <c r="E647" s="11"/>
      <c r="F647" s="24"/>
      <c r="G647" s="24"/>
      <c r="H647" s="11"/>
    </row>
    <row r="648" spans="1:8" ht="12.75" hidden="1">
      <c r="A648" s="11"/>
      <c r="B648" s="11"/>
      <c r="C648" s="11"/>
      <c r="D648" s="24"/>
      <c r="E648" s="11"/>
      <c r="F648" s="24"/>
      <c r="G648" s="24"/>
      <c r="H648" s="11"/>
    </row>
    <row r="649" spans="1:8" ht="12.75" hidden="1">
      <c r="A649" s="11"/>
      <c r="B649" s="11"/>
      <c r="C649" s="11"/>
      <c r="D649" s="24"/>
      <c r="E649" s="11"/>
      <c r="F649" s="24"/>
      <c r="G649" s="24"/>
      <c r="H649" s="11"/>
    </row>
    <row r="650" spans="1:8" ht="12.75" hidden="1">
      <c r="A650" s="11"/>
      <c r="B650" s="11"/>
      <c r="C650" s="11"/>
      <c r="D650" s="24"/>
      <c r="E650" s="11"/>
      <c r="F650" s="24"/>
      <c r="G650" s="24"/>
      <c r="H650" s="11"/>
    </row>
    <row r="651" spans="1:8" ht="12.75" hidden="1">
      <c r="A651" s="11"/>
      <c r="B651" s="11"/>
      <c r="C651" s="11"/>
      <c r="D651" s="24"/>
      <c r="E651" s="11"/>
      <c r="F651" s="24"/>
      <c r="G651" s="24"/>
      <c r="H651" s="11"/>
    </row>
    <row r="652" spans="1:8" ht="12.75" hidden="1">
      <c r="A652" s="11"/>
      <c r="B652" s="11"/>
      <c r="C652" s="11"/>
      <c r="D652" s="24"/>
      <c r="E652" s="11"/>
      <c r="F652" s="24"/>
      <c r="G652" s="24"/>
      <c r="H652" s="11"/>
    </row>
    <row r="653" spans="1:8" ht="12.75" hidden="1">
      <c r="A653" s="11"/>
      <c r="B653" s="11"/>
      <c r="C653" s="11"/>
      <c r="D653" s="24"/>
      <c r="E653" s="11"/>
      <c r="F653" s="24"/>
      <c r="G653" s="24"/>
      <c r="H653" s="11"/>
    </row>
    <row r="654" spans="1:8" ht="12.75" hidden="1">
      <c r="A654" s="11"/>
      <c r="B654" s="11"/>
      <c r="C654" s="11"/>
      <c r="D654" s="24"/>
      <c r="E654" s="11"/>
      <c r="F654" s="24"/>
      <c r="G654" s="24"/>
      <c r="H654" s="11"/>
    </row>
    <row r="655" spans="1:8" ht="12.75" hidden="1">
      <c r="A655" s="11"/>
      <c r="B655" s="11"/>
      <c r="C655" s="11"/>
      <c r="D655" s="24"/>
      <c r="E655" s="11"/>
      <c r="F655" s="24"/>
      <c r="G655" s="24"/>
      <c r="H655" s="11"/>
    </row>
    <row r="656" spans="1:8" ht="12.75" hidden="1">
      <c r="A656" s="11"/>
      <c r="B656" s="11"/>
      <c r="C656" s="11"/>
      <c r="D656" s="24"/>
      <c r="E656" s="11"/>
      <c r="F656" s="24"/>
      <c r="G656" s="24"/>
      <c r="H656" s="11"/>
    </row>
    <row r="657" spans="1:8" ht="12.75" hidden="1">
      <c r="A657" s="11"/>
      <c r="B657" s="11"/>
      <c r="C657" s="11"/>
      <c r="D657" s="24"/>
      <c r="E657" s="11"/>
      <c r="F657" s="24"/>
      <c r="G657" s="24"/>
      <c r="H657" s="11"/>
    </row>
    <row r="658" spans="1:8" ht="12.75" hidden="1">
      <c r="A658" s="11"/>
      <c r="B658" s="11"/>
      <c r="C658" s="11"/>
      <c r="D658" s="24"/>
      <c r="E658" s="11"/>
      <c r="F658" s="24"/>
      <c r="G658" s="24"/>
      <c r="H658" s="11"/>
    </row>
    <row r="659" spans="1:8" ht="12.75" hidden="1">
      <c r="A659" s="11"/>
      <c r="B659" s="11"/>
      <c r="C659" s="11"/>
      <c r="D659" s="24"/>
      <c r="E659" s="11"/>
      <c r="F659" s="24"/>
      <c r="G659" s="24"/>
      <c r="H659" s="11"/>
    </row>
    <row r="660" spans="1:8" ht="12.75" hidden="1">
      <c r="A660" s="11"/>
      <c r="B660" s="11"/>
      <c r="C660" s="11"/>
      <c r="D660" s="24"/>
      <c r="E660" s="11"/>
      <c r="F660" s="24"/>
      <c r="G660" s="24"/>
      <c r="H660" s="11"/>
    </row>
    <row r="661" spans="1:8" ht="12.75" hidden="1">
      <c r="A661" s="11"/>
      <c r="B661" s="11"/>
      <c r="C661" s="11"/>
      <c r="D661" s="24"/>
      <c r="E661" s="11"/>
      <c r="F661" s="24"/>
      <c r="G661" s="24"/>
      <c r="H661" s="11"/>
    </row>
    <row r="662" spans="1:8" ht="12.75" hidden="1">
      <c r="A662" s="11"/>
      <c r="B662" s="11"/>
      <c r="C662" s="11"/>
      <c r="D662" s="24"/>
      <c r="E662" s="11"/>
      <c r="F662" s="24"/>
      <c r="G662" s="24"/>
      <c r="H662" s="11"/>
    </row>
    <row r="663" spans="1:8" ht="12.75" hidden="1">
      <c r="A663" s="11"/>
      <c r="B663" s="11"/>
      <c r="C663" s="11"/>
      <c r="D663" s="24"/>
      <c r="E663" s="11"/>
      <c r="F663" s="24"/>
      <c r="G663" s="24"/>
      <c r="H663" s="11"/>
    </row>
    <row r="664" spans="1:8" ht="12.75" hidden="1">
      <c r="A664" s="11"/>
      <c r="B664" s="11"/>
      <c r="C664" s="11"/>
      <c r="D664" s="24"/>
      <c r="E664" s="11"/>
      <c r="F664" s="24"/>
      <c r="G664" s="24"/>
      <c r="H664" s="11"/>
    </row>
    <row r="665" spans="1:8" ht="12.75" hidden="1">
      <c r="A665" s="11"/>
      <c r="B665" s="11"/>
      <c r="C665" s="11"/>
      <c r="D665" s="24"/>
      <c r="E665" s="11"/>
      <c r="F665" s="24"/>
      <c r="G665" s="24"/>
      <c r="H665" s="11"/>
    </row>
    <row r="666" spans="1:8" ht="12.75" hidden="1">
      <c r="A666" s="11"/>
      <c r="B666" s="11"/>
      <c r="C666" s="11"/>
      <c r="D666" s="24"/>
      <c r="E666" s="11"/>
      <c r="F666" s="24"/>
      <c r="G666" s="24"/>
      <c r="H666" s="11"/>
    </row>
    <row r="667" spans="1:8" ht="12.75" hidden="1">
      <c r="A667" s="11"/>
      <c r="B667" s="11"/>
      <c r="C667" s="11"/>
      <c r="D667" s="24"/>
      <c r="E667" s="11"/>
      <c r="F667" s="24"/>
      <c r="G667" s="24"/>
      <c r="H667" s="11"/>
    </row>
    <row r="668" spans="1:8" ht="12.75" hidden="1">
      <c r="A668" s="11"/>
      <c r="B668" s="11"/>
      <c r="C668" s="11"/>
      <c r="D668" s="24"/>
      <c r="E668" s="11"/>
      <c r="F668" s="24"/>
      <c r="G668" s="24"/>
      <c r="H668" s="11"/>
    </row>
    <row r="669" spans="1:8" ht="12.75" hidden="1">
      <c r="A669" s="11"/>
      <c r="B669" s="11"/>
      <c r="C669" s="11"/>
      <c r="D669" s="24"/>
      <c r="E669" s="11"/>
      <c r="F669" s="24"/>
      <c r="G669" s="24"/>
      <c r="H669" s="11"/>
    </row>
    <row r="670" spans="1:8" ht="12.75" hidden="1">
      <c r="A670" s="11"/>
      <c r="B670" s="11"/>
      <c r="C670" s="11"/>
      <c r="D670" s="24"/>
      <c r="E670" s="11"/>
      <c r="F670" s="24"/>
      <c r="G670" s="24"/>
      <c r="H670" s="11"/>
    </row>
    <row r="671" spans="1:8" ht="12.75" hidden="1">
      <c r="A671" s="11"/>
      <c r="B671" s="11"/>
      <c r="C671" s="11"/>
      <c r="D671" s="24"/>
      <c r="E671" s="11"/>
      <c r="F671" s="24"/>
      <c r="G671" s="24"/>
      <c r="H671" s="11"/>
    </row>
    <row r="672" spans="1:8" ht="12.75" hidden="1">
      <c r="A672" s="11"/>
      <c r="B672" s="11"/>
      <c r="C672" s="11"/>
      <c r="D672" s="24"/>
      <c r="E672" s="11"/>
      <c r="F672" s="24"/>
      <c r="G672" s="24"/>
      <c r="H672" s="11"/>
    </row>
    <row r="673" spans="1:8" ht="12.75" hidden="1">
      <c r="A673" s="11"/>
      <c r="B673" s="11"/>
      <c r="C673" s="11"/>
      <c r="D673" s="24"/>
      <c r="E673" s="11"/>
      <c r="F673" s="24"/>
      <c r="G673" s="24"/>
      <c r="H673" s="11"/>
    </row>
    <row r="674" spans="1:8" ht="12.75" hidden="1">
      <c r="A674" s="11"/>
      <c r="B674" s="11"/>
      <c r="C674" s="11"/>
      <c r="D674" s="24"/>
      <c r="E674" s="11"/>
      <c r="F674" s="24"/>
      <c r="G674" s="24"/>
      <c r="H674" s="11"/>
    </row>
    <row r="675" spans="1:8" ht="12.75" hidden="1">
      <c r="A675" s="11"/>
      <c r="B675" s="11"/>
      <c r="C675" s="11"/>
      <c r="D675" s="24"/>
      <c r="E675" s="11"/>
      <c r="F675" s="24"/>
      <c r="G675" s="24"/>
      <c r="H675" s="11"/>
    </row>
    <row r="676" spans="1:8" ht="12.75" hidden="1">
      <c r="A676" s="11"/>
      <c r="B676" s="11"/>
      <c r="C676" s="11"/>
      <c r="D676" s="24"/>
      <c r="E676" s="11"/>
      <c r="F676" s="24"/>
      <c r="G676" s="24"/>
      <c r="H676" s="11"/>
    </row>
    <row r="677" spans="1:8" ht="12.75" hidden="1">
      <c r="A677" s="11"/>
      <c r="B677" s="11"/>
      <c r="C677" s="11"/>
      <c r="D677" s="24"/>
      <c r="E677" s="11"/>
      <c r="F677" s="24"/>
      <c r="G677" s="24"/>
      <c r="H677" s="11"/>
    </row>
    <row r="678" spans="1:8" ht="12.75" hidden="1">
      <c r="A678" s="11"/>
      <c r="B678" s="11"/>
      <c r="C678" s="11"/>
      <c r="D678" s="24"/>
      <c r="E678" s="11"/>
      <c r="F678" s="24"/>
      <c r="G678" s="24"/>
      <c r="H678" s="11"/>
    </row>
    <row r="679" spans="1:8" ht="12.75" hidden="1">
      <c r="A679" s="11"/>
      <c r="B679" s="11"/>
      <c r="C679" s="11"/>
      <c r="D679" s="24"/>
      <c r="E679" s="11"/>
      <c r="F679" s="24"/>
      <c r="G679" s="24"/>
      <c r="H679" s="11"/>
    </row>
    <row r="680" spans="1:8" ht="12.75" hidden="1">
      <c r="A680" s="11"/>
      <c r="B680" s="11"/>
      <c r="C680" s="11"/>
      <c r="D680" s="24"/>
      <c r="E680" s="11"/>
      <c r="F680" s="24"/>
      <c r="G680" s="24"/>
      <c r="H680" s="11"/>
    </row>
    <row r="681" spans="1:8" ht="12.75" hidden="1">
      <c r="A681" s="11"/>
      <c r="B681" s="11"/>
      <c r="C681" s="11"/>
      <c r="D681" s="24"/>
      <c r="E681" s="11"/>
      <c r="F681" s="24"/>
      <c r="G681" s="24"/>
      <c r="H681" s="11"/>
    </row>
    <row r="682" spans="1:8" ht="12.75" hidden="1">
      <c r="A682" s="11"/>
      <c r="B682" s="11"/>
      <c r="C682" s="11"/>
      <c r="D682" s="24"/>
      <c r="E682" s="11"/>
      <c r="F682" s="24"/>
      <c r="G682" s="24"/>
      <c r="H682" s="11"/>
    </row>
    <row r="683" spans="1:8" ht="12.75" hidden="1">
      <c r="A683" s="11"/>
      <c r="B683" s="11"/>
      <c r="C683" s="11"/>
      <c r="D683" s="24"/>
      <c r="E683" s="11"/>
      <c r="F683" s="24"/>
      <c r="G683" s="24"/>
      <c r="H683" s="11"/>
    </row>
    <row r="684" spans="1:8" ht="12.75" hidden="1">
      <c r="A684" s="11"/>
      <c r="B684" s="11"/>
      <c r="C684" s="11"/>
      <c r="D684" s="24"/>
      <c r="E684" s="11"/>
      <c r="F684" s="24"/>
      <c r="G684" s="24"/>
      <c r="H684" s="11"/>
    </row>
    <row r="685" spans="1:8" ht="12.75" hidden="1">
      <c r="A685" s="11"/>
      <c r="B685" s="11"/>
      <c r="C685" s="11"/>
      <c r="D685" s="24"/>
      <c r="E685" s="11"/>
      <c r="F685" s="24"/>
      <c r="G685" s="24"/>
      <c r="H685" s="11"/>
    </row>
    <row r="686" spans="1:8" ht="12.75" hidden="1">
      <c r="A686" s="11"/>
      <c r="B686" s="11"/>
      <c r="C686" s="11"/>
      <c r="D686" s="24"/>
      <c r="E686" s="11"/>
      <c r="F686" s="24"/>
      <c r="G686" s="24"/>
      <c r="H686" s="11"/>
    </row>
    <row r="687" spans="1:8" ht="12.75" hidden="1">
      <c r="A687" s="11"/>
      <c r="B687" s="11"/>
      <c r="C687" s="11"/>
      <c r="D687" s="24"/>
      <c r="E687" s="11"/>
      <c r="F687" s="24"/>
      <c r="G687" s="24"/>
      <c r="H687" s="11"/>
    </row>
    <row r="688" spans="1:8" ht="12.75" hidden="1">
      <c r="A688" s="11"/>
      <c r="B688" s="11"/>
      <c r="C688" s="11"/>
      <c r="D688" s="24"/>
      <c r="E688" s="11"/>
      <c r="F688" s="24"/>
      <c r="G688" s="24"/>
      <c r="H688" s="11"/>
    </row>
    <row r="689" spans="1:8" ht="12.75" hidden="1">
      <c r="A689" s="11"/>
      <c r="B689" s="11"/>
      <c r="C689" s="11"/>
      <c r="D689" s="24"/>
      <c r="E689" s="11"/>
      <c r="F689" s="24"/>
      <c r="G689" s="24"/>
      <c r="H689" s="11"/>
    </row>
    <row r="690" spans="1:8" ht="12.75" hidden="1">
      <c r="A690" s="11"/>
      <c r="B690" s="11"/>
      <c r="C690" s="11"/>
      <c r="D690" s="24"/>
      <c r="E690" s="11"/>
      <c r="F690" s="24"/>
      <c r="G690" s="24"/>
      <c r="H690" s="11"/>
    </row>
    <row r="691" spans="1:8" ht="12.75" hidden="1">
      <c r="A691" s="11"/>
      <c r="B691" s="11"/>
      <c r="C691" s="11"/>
      <c r="D691" s="24"/>
      <c r="E691" s="11"/>
      <c r="F691" s="24"/>
      <c r="G691" s="24"/>
      <c r="H691" s="11"/>
    </row>
    <row r="692" spans="1:8" ht="12.75" hidden="1">
      <c r="A692" s="11"/>
      <c r="B692" s="11"/>
      <c r="C692" s="11"/>
      <c r="D692" s="24"/>
      <c r="E692" s="11"/>
      <c r="F692" s="24"/>
      <c r="G692" s="24"/>
      <c r="H692" s="11"/>
    </row>
    <row r="693" spans="1:8" ht="12.75" hidden="1">
      <c r="A693" s="11"/>
      <c r="B693" s="11"/>
      <c r="C693" s="11"/>
      <c r="D693" s="24"/>
      <c r="E693" s="11"/>
      <c r="F693" s="24"/>
      <c r="G693" s="24"/>
      <c r="H693" s="11"/>
    </row>
    <row r="694" spans="1:8" ht="12.75" hidden="1">
      <c r="A694" s="11"/>
      <c r="B694" s="11"/>
      <c r="C694" s="11"/>
      <c r="D694" s="24"/>
      <c r="E694" s="11"/>
      <c r="F694" s="24"/>
      <c r="G694" s="24"/>
      <c r="H694" s="11"/>
    </row>
    <row r="695" spans="1:8" ht="12.75" hidden="1">
      <c r="A695" s="11"/>
      <c r="B695" s="11"/>
      <c r="C695" s="11"/>
      <c r="D695" s="24"/>
      <c r="E695" s="11"/>
      <c r="F695" s="24"/>
      <c r="G695" s="24"/>
      <c r="H695" s="11"/>
    </row>
    <row r="696" spans="1:8" ht="12.75" hidden="1">
      <c r="A696" s="11"/>
      <c r="B696" s="11"/>
      <c r="C696" s="11"/>
      <c r="D696" s="24"/>
      <c r="E696" s="11"/>
      <c r="F696" s="24"/>
      <c r="G696" s="24"/>
      <c r="H696" s="11"/>
    </row>
    <row r="697" spans="1:8" ht="12.75" hidden="1">
      <c r="A697" s="11"/>
      <c r="B697" s="11"/>
      <c r="C697" s="11"/>
      <c r="D697" s="24"/>
      <c r="E697" s="11"/>
      <c r="F697" s="24"/>
      <c r="G697" s="24"/>
      <c r="H697" s="11"/>
    </row>
    <row r="698" spans="1:8" ht="12.75" hidden="1">
      <c r="A698" s="11"/>
      <c r="B698" s="11"/>
      <c r="C698" s="11"/>
      <c r="D698" s="24"/>
      <c r="E698" s="11"/>
      <c r="F698" s="24"/>
      <c r="G698" s="24"/>
      <c r="H698" s="11"/>
    </row>
    <row r="699" spans="1:8" ht="12.75" hidden="1">
      <c r="A699" s="11"/>
      <c r="B699" s="11"/>
      <c r="C699" s="11"/>
      <c r="D699" s="24"/>
      <c r="E699" s="11"/>
      <c r="F699" s="24"/>
      <c r="G699" s="24"/>
      <c r="H699" s="11"/>
    </row>
    <row r="700" spans="1:8" ht="12.75" hidden="1">
      <c r="A700" s="11"/>
      <c r="B700" s="11"/>
      <c r="C700" s="11"/>
      <c r="D700" s="24"/>
      <c r="E700" s="11"/>
      <c r="F700" s="24"/>
      <c r="G700" s="24"/>
      <c r="H700" s="11"/>
    </row>
    <row r="701" spans="1:8" ht="12.75" hidden="1">
      <c r="A701" s="11"/>
      <c r="B701" s="11"/>
      <c r="C701" s="11"/>
      <c r="D701" s="24"/>
      <c r="E701" s="11"/>
      <c r="F701" s="24"/>
      <c r="G701" s="24"/>
      <c r="H701" s="11"/>
    </row>
    <row r="702" spans="1:8" ht="12.75" hidden="1">
      <c r="A702" s="11"/>
      <c r="B702" s="11"/>
      <c r="C702" s="11"/>
      <c r="D702" s="24"/>
      <c r="E702" s="11"/>
      <c r="F702" s="24"/>
      <c r="G702" s="24"/>
      <c r="H702" s="11"/>
    </row>
    <row r="703" spans="1:8" ht="12.75" hidden="1">
      <c r="A703" s="11"/>
      <c r="B703" s="11"/>
      <c r="C703" s="11"/>
      <c r="D703" s="24"/>
      <c r="E703" s="11"/>
      <c r="F703" s="24"/>
      <c r="G703" s="24"/>
      <c r="H703" s="11"/>
    </row>
    <row r="704" spans="1:8" ht="12.75" hidden="1">
      <c r="A704" s="11"/>
      <c r="B704" s="11"/>
      <c r="C704" s="11"/>
      <c r="D704" s="24"/>
      <c r="E704" s="11"/>
      <c r="F704" s="24"/>
      <c r="G704" s="24"/>
      <c r="H704" s="11"/>
    </row>
    <row r="705" spans="1:8" ht="12.75" hidden="1">
      <c r="A705" s="11"/>
      <c r="B705" s="11"/>
      <c r="C705" s="11"/>
      <c r="D705" s="24"/>
      <c r="E705" s="11"/>
      <c r="F705" s="24"/>
      <c r="G705" s="24"/>
      <c r="H705" s="11"/>
    </row>
    <row r="706" spans="1:8" ht="12.75" hidden="1">
      <c r="A706" s="11"/>
      <c r="B706" s="11"/>
      <c r="C706" s="11"/>
      <c r="D706" s="24"/>
      <c r="E706" s="11"/>
      <c r="F706" s="24"/>
      <c r="G706" s="24"/>
      <c r="H706" s="11"/>
    </row>
    <row r="707" spans="1:8" ht="12.75" hidden="1">
      <c r="A707" s="11"/>
      <c r="B707" s="11"/>
      <c r="C707" s="11"/>
      <c r="D707" s="24"/>
      <c r="E707" s="11"/>
      <c r="F707" s="24"/>
      <c r="G707" s="24"/>
      <c r="H707" s="11"/>
    </row>
    <row r="708" spans="1:8" ht="12.75" hidden="1">
      <c r="A708" s="11"/>
      <c r="B708" s="11"/>
      <c r="C708" s="11"/>
      <c r="D708" s="24"/>
      <c r="E708" s="11"/>
      <c r="F708" s="24"/>
      <c r="G708" s="24"/>
      <c r="H708" s="11"/>
    </row>
    <row r="709" spans="1:8" ht="12.75" hidden="1">
      <c r="A709" s="11"/>
      <c r="B709" s="11"/>
      <c r="C709" s="11"/>
      <c r="D709" s="24"/>
      <c r="E709" s="11"/>
      <c r="F709" s="24"/>
      <c r="G709" s="24"/>
      <c r="H709" s="11"/>
    </row>
    <row r="710" spans="1:8" ht="12.75" hidden="1">
      <c r="A710" s="11"/>
      <c r="B710" s="11"/>
      <c r="C710" s="11"/>
      <c r="D710" s="24"/>
      <c r="E710" s="11"/>
      <c r="F710" s="24"/>
      <c r="G710" s="24"/>
      <c r="H710" s="11"/>
    </row>
    <row r="711" spans="1:8" ht="12.75" hidden="1">
      <c r="A711" s="11"/>
      <c r="B711" s="11"/>
      <c r="C711" s="11"/>
      <c r="D711" s="24"/>
      <c r="E711" s="11"/>
      <c r="F711" s="24"/>
      <c r="G711" s="24"/>
      <c r="H711" s="11"/>
    </row>
    <row r="712" spans="1:8" ht="12.75" hidden="1">
      <c r="A712" s="11"/>
      <c r="B712" s="11"/>
      <c r="C712" s="11"/>
      <c r="D712" s="24"/>
      <c r="E712" s="11"/>
      <c r="F712" s="24"/>
      <c r="G712" s="24"/>
      <c r="H712" s="11"/>
    </row>
    <row r="713" spans="1:8" ht="12.75" hidden="1">
      <c r="A713" s="11"/>
      <c r="B713" s="11"/>
      <c r="C713" s="11"/>
      <c r="D713" s="24"/>
      <c r="E713" s="11"/>
      <c r="F713" s="24"/>
      <c r="G713" s="24"/>
      <c r="H713" s="11"/>
    </row>
    <row r="714" spans="1:8" ht="12.75" hidden="1">
      <c r="A714" s="11"/>
      <c r="B714" s="11"/>
      <c r="C714" s="11"/>
      <c r="D714" s="24"/>
      <c r="E714" s="11"/>
      <c r="F714" s="24"/>
      <c r="G714" s="24"/>
      <c r="H714" s="11"/>
    </row>
    <row r="715" spans="1:8" ht="12.75" hidden="1">
      <c r="A715" s="11"/>
      <c r="B715" s="11"/>
      <c r="C715" s="11"/>
      <c r="D715" s="24"/>
      <c r="E715" s="11"/>
      <c r="F715" s="24"/>
      <c r="G715" s="24"/>
      <c r="H715" s="11"/>
    </row>
    <row r="716" spans="1:8" ht="12.75" hidden="1">
      <c r="A716" s="11"/>
      <c r="B716" s="11"/>
      <c r="C716" s="11"/>
      <c r="D716" s="24"/>
      <c r="E716" s="11"/>
      <c r="F716" s="24"/>
      <c r="G716" s="24"/>
      <c r="H716" s="11"/>
    </row>
    <row r="717" spans="1:8" ht="12.75" hidden="1">
      <c r="A717" s="11"/>
      <c r="B717" s="11"/>
      <c r="C717" s="11"/>
      <c r="D717" s="24"/>
      <c r="E717" s="11"/>
      <c r="F717" s="24"/>
      <c r="G717" s="24"/>
      <c r="H717" s="11"/>
    </row>
    <row r="718" spans="1:8" ht="12.75" hidden="1">
      <c r="A718" s="11"/>
      <c r="B718" s="11"/>
      <c r="C718" s="11"/>
      <c r="D718" s="24"/>
      <c r="E718" s="11"/>
      <c r="F718" s="24"/>
      <c r="G718" s="24"/>
      <c r="H718" s="11"/>
    </row>
    <row r="719" spans="1:8" ht="12.75" hidden="1">
      <c r="A719" s="11"/>
      <c r="B719" s="11"/>
      <c r="C719" s="11"/>
      <c r="D719" s="24"/>
      <c r="E719" s="11"/>
      <c r="F719" s="24"/>
      <c r="G719" s="24"/>
      <c r="H719" s="11"/>
    </row>
    <row r="720" spans="1:8" ht="12.75" hidden="1">
      <c r="A720" s="11"/>
      <c r="B720" s="11"/>
      <c r="C720" s="11"/>
      <c r="D720" s="24"/>
      <c r="E720" s="11"/>
      <c r="F720" s="24"/>
      <c r="G720" s="24"/>
      <c r="H720" s="11"/>
    </row>
    <row r="721" spans="1:8" ht="12.75" hidden="1">
      <c r="A721" s="11"/>
      <c r="B721" s="11"/>
      <c r="C721" s="11"/>
      <c r="D721" s="24"/>
      <c r="E721" s="11"/>
      <c r="F721" s="24"/>
      <c r="G721" s="24"/>
      <c r="H721" s="11"/>
    </row>
    <row r="722" spans="1:8" ht="12.75" hidden="1">
      <c r="A722" s="11"/>
      <c r="B722" s="11"/>
      <c r="C722" s="11"/>
      <c r="D722" s="24"/>
      <c r="E722" s="11"/>
      <c r="F722" s="24"/>
      <c r="G722" s="24"/>
      <c r="H722" s="11"/>
    </row>
    <row r="723" spans="1:8" ht="12.75" hidden="1">
      <c r="A723" s="11"/>
      <c r="B723" s="11"/>
      <c r="C723" s="11"/>
      <c r="D723" s="24"/>
      <c r="E723" s="11"/>
      <c r="F723" s="24"/>
      <c r="G723" s="24"/>
      <c r="H723" s="11"/>
    </row>
    <row r="724" spans="1:8" ht="12.75" hidden="1">
      <c r="A724" s="11"/>
      <c r="B724" s="11"/>
      <c r="C724" s="11"/>
      <c r="D724" s="24"/>
      <c r="E724" s="11"/>
      <c r="F724" s="24"/>
      <c r="G724" s="24"/>
      <c r="H724" s="11"/>
    </row>
    <row r="725" spans="1:8" ht="12.75" hidden="1">
      <c r="A725" s="11"/>
      <c r="B725" s="11"/>
      <c r="C725" s="11"/>
      <c r="D725" s="24"/>
      <c r="E725" s="11"/>
      <c r="F725" s="24"/>
      <c r="G725" s="24"/>
      <c r="H725" s="11"/>
    </row>
    <row r="726" spans="1:8" ht="12.75" hidden="1">
      <c r="A726" s="11"/>
      <c r="B726" s="11"/>
      <c r="C726" s="11"/>
      <c r="D726" s="24"/>
      <c r="E726" s="11"/>
      <c r="F726" s="24"/>
      <c r="G726" s="24"/>
      <c r="H726" s="11"/>
    </row>
    <row r="727" spans="1:8" ht="12.75" hidden="1">
      <c r="A727" s="11"/>
      <c r="B727" s="11"/>
      <c r="C727" s="11"/>
      <c r="D727" s="24"/>
      <c r="E727" s="11"/>
      <c r="F727" s="24"/>
      <c r="G727" s="24"/>
      <c r="H727" s="11"/>
    </row>
    <row r="728" spans="1:8" ht="12.75" hidden="1">
      <c r="A728" s="11"/>
      <c r="B728" s="11"/>
      <c r="C728" s="11"/>
      <c r="D728" s="24"/>
      <c r="E728" s="11"/>
      <c r="F728" s="24"/>
      <c r="G728" s="24"/>
      <c r="H728" s="11"/>
    </row>
    <row r="729" spans="1:8" ht="12.75" hidden="1">
      <c r="A729" s="11"/>
      <c r="B729" s="11"/>
      <c r="C729" s="11"/>
      <c r="D729" s="24"/>
      <c r="E729" s="11"/>
      <c r="F729" s="24"/>
      <c r="G729" s="24"/>
      <c r="H729" s="11"/>
    </row>
    <row r="730" spans="1:8" ht="12.75" hidden="1">
      <c r="A730" s="11"/>
      <c r="B730" s="11"/>
      <c r="C730" s="11"/>
      <c r="D730" s="24"/>
      <c r="E730" s="11"/>
      <c r="F730" s="24"/>
      <c r="G730" s="24"/>
      <c r="H730" s="11"/>
    </row>
    <row r="731" spans="1:8" ht="12.75" hidden="1">
      <c r="A731" s="11"/>
      <c r="B731" s="11"/>
      <c r="C731" s="11"/>
      <c r="D731" s="24"/>
      <c r="E731" s="11"/>
      <c r="F731" s="24"/>
      <c r="G731" s="24"/>
      <c r="H731" s="11"/>
    </row>
    <row r="732" spans="1:8" ht="12.75" hidden="1">
      <c r="A732" s="11"/>
      <c r="B732" s="11"/>
      <c r="C732" s="11"/>
      <c r="D732" s="24"/>
      <c r="E732" s="11"/>
      <c r="F732" s="24"/>
      <c r="G732" s="24"/>
      <c r="H732" s="11"/>
    </row>
    <row r="733" spans="1:8" ht="12.75" hidden="1">
      <c r="A733" s="11"/>
      <c r="B733" s="11"/>
      <c r="C733" s="11"/>
      <c r="D733" s="24"/>
      <c r="E733" s="11"/>
      <c r="F733" s="24"/>
      <c r="G733" s="24"/>
      <c r="H733" s="11"/>
    </row>
    <row r="734" spans="1:8" ht="12.75" hidden="1">
      <c r="A734" s="11"/>
      <c r="B734" s="11"/>
      <c r="C734" s="11"/>
      <c r="D734" s="24"/>
      <c r="E734" s="11"/>
      <c r="F734" s="24"/>
      <c r="G734" s="24"/>
      <c r="H734" s="11"/>
    </row>
    <row r="735" spans="1:8" ht="12.75" hidden="1">
      <c r="A735" s="11"/>
      <c r="B735" s="11"/>
      <c r="C735" s="11"/>
      <c r="D735" s="24"/>
      <c r="E735" s="11"/>
      <c r="F735" s="24"/>
      <c r="G735" s="24"/>
      <c r="H735" s="11"/>
    </row>
    <row r="736" spans="1:8" ht="12.75" hidden="1">
      <c r="A736" s="11"/>
      <c r="B736" s="11"/>
      <c r="C736" s="11"/>
      <c r="D736" s="24"/>
      <c r="E736" s="11"/>
      <c r="F736" s="24"/>
      <c r="G736" s="24"/>
      <c r="H736" s="11"/>
    </row>
    <row r="737" spans="1:8" ht="12.75" hidden="1">
      <c r="A737" s="11"/>
      <c r="B737" s="11"/>
      <c r="C737" s="11"/>
      <c r="D737" s="24"/>
      <c r="E737" s="11"/>
      <c r="F737" s="24"/>
      <c r="G737" s="24"/>
      <c r="H737" s="11"/>
    </row>
    <row r="738" spans="1:8" ht="12.75" hidden="1">
      <c r="A738" s="11"/>
      <c r="B738" s="11"/>
      <c r="C738" s="11"/>
      <c r="D738" s="24"/>
      <c r="E738" s="11"/>
      <c r="F738" s="24"/>
      <c r="G738" s="24"/>
      <c r="H738" s="11"/>
    </row>
    <row r="739" spans="1:8" ht="12.75" hidden="1">
      <c r="A739" s="11"/>
      <c r="B739" s="11"/>
      <c r="C739" s="11"/>
      <c r="D739" s="24"/>
      <c r="E739" s="11"/>
      <c r="F739" s="24"/>
      <c r="G739" s="24"/>
      <c r="H739" s="11"/>
    </row>
    <row r="740" spans="1:8" ht="12.75" hidden="1">
      <c r="A740" s="11"/>
      <c r="B740" s="11"/>
      <c r="C740" s="11"/>
      <c r="D740" s="24"/>
      <c r="E740" s="11"/>
      <c r="F740" s="24"/>
      <c r="G740" s="24"/>
      <c r="H740" s="11"/>
    </row>
    <row r="741" spans="1:8" ht="12.75" hidden="1">
      <c r="A741" s="11"/>
      <c r="B741" s="11"/>
      <c r="C741" s="11"/>
      <c r="D741" s="24"/>
      <c r="E741" s="11"/>
      <c r="F741" s="24"/>
      <c r="G741" s="24"/>
      <c r="H741" s="11"/>
    </row>
    <row r="742" spans="1:8" ht="12.75" hidden="1">
      <c r="A742" s="11"/>
      <c r="B742" s="11"/>
      <c r="C742" s="11"/>
      <c r="D742" s="24"/>
      <c r="E742" s="11"/>
      <c r="F742" s="24"/>
      <c r="G742" s="24"/>
      <c r="H742" s="11"/>
    </row>
    <row r="743" spans="1:8" ht="12.75" hidden="1">
      <c r="A743" s="11"/>
      <c r="B743" s="11"/>
      <c r="C743" s="11"/>
      <c r="D743" s="24"/>
      <c r="E743" s="11"/>
      <c r="F743" s="24"/>
      <c r="G743" s="24"/>
      <c r="H743" s="11"/>
    </row>
    <row r="744" spans="1:8" ht="12.75" hidden="1">
      <c r="A744" s="11"/>
      <c r="B744" s="11"/>
      <c r="C744" s="11"/>
      <c r="D744" s="24"/>
      <c r="E744" s="11"/>
      <c r="F744" s="24"/>
      <c r="G744" s="24"/>
      <c r="H744" s="11"/>
    </row>
    <row r="745" spans="1:8" ht="12.75" hidden="1">
      <c r="A745" s="11"/>
      <c r="B745" s="11"/>
      <c r="C745" s="11"/>
      <c r="D745" s="24"/>
      <c r="E745" s="11"/>
      <c r="F745" s="24"/>
      <c r="G745" s="24"/>
      <c r="H745" s="11"/>
    </row>
    <row r="746" spans="1:8" ht="12.75" hidden="1">
      <c r="A746" s="11"/>
      <c r="B746" s="11"/>
      <c r="C746" s="11"/>
      <c r="D746" s="24"/>
      <c r="E746" s="11"/>
      <c r="F746" s="24"/>
      <c r="G746" s="24"/>
      <c r="H746" s="11"/>
    </row>
    <row r="747" spans="1:8" ht="12.75" hidden="1">
      <c r="A747" s="11"/>
      <c r="B747" s="11"/>
      <c r="C747" s="11"/>
      <c r="D747" s="24"/>
      <c r="E747" s="11"/>
      <c r="F747" s="24"/>
      <c r="G747" s="24"/>
      <c r="H747" s="11"/>
    </row>
    <row r="748" spans="1:8" ht="12.75" hidden="1">
      <c r="A748" s="11"/>
      <c r="B748" s="11"/>
      <c r="C748" s="11"/>
      <c r="D748" s="24"/>
      <c r="E748" s="11"/>
      <c r="F748" s="24"/>
      <c r="G748" s="24"/>
      <c r="H748" s="11"/>
    </row>
    <row r="749" spans="1:8" ht="12.75" hidden="1">
      <c r="A749" s="11"/>
      <c r="B749" s="11"/>
      <c r="C749" s="11"/>
      <c r="D749" s="24"/>
      <c r="E749" s="11"/>
      <c r="F749" s="24"/>
      <c r="G749" s="24"/>
      <c r="H749" s="11"/>
    </row>
    <row r="750" spans="1:8" ht="12.75" hidden="1">
      <c r="A750" s="11"/>
      <c r="B750" s="11"/>
      <c r="C750" s="11"/>
      <c r="D750" s="24"/>
      <c r="E750" s="11"/>
      <c r="F750" s="24"/>
      <c r="G750" s="24"/>
      <c r="H750" s="11"/>
    </row>
    <row r="751" spans="1:8" ht="12.75" hidden="1">
      <c r="A751" s="11"/>
      <c r="B751" s="11"/>
      <c r="C751" s="11"/>
      <c r="D751" s="24"/>
      <c r="E751" s="11"/>
      <c r="F751" s="24"/>
      <c r="G751" s="24"/>
      <c r="H751" s="11"/>
    </row>
    <row r="752" spans="1:8" ht="12.75" hidden="1">
      <c r="A752" s="11"/>
      <c r="B752" s="11"/>
      <c r="C752" s="11"/>
      <c r="D752" s="24"/>
      <c r="E752" s="11"/>
      <c r="F752" s="24"/>
      <c r="G752" s="24"/>
      <c r="H752" s="11"/>
    </row>
    <row r="753" spans="1:8" ht="12.75" hidden="1">
      <c r="A753" s="11"/>
      <c r="B753" s="11"/>
      <c r="C753" s="11"/>
      <c r="D753" s="24"/>
      <c r="E753" s="11"/>
      <c r="F753" s="24"/>
      <c r="G753" s="24"/>
      <c r="H753" s="11"/>
    </row>
    <row r="754" spans="1:8" ht="12.75" hidden="1">
      <c r="A754" s="11"/>
      <c r="B754" s="11"/>
      <c r="C754" s="11"/>
      <c r="D754" s="24"/>
      <c r="E754" s="11"/>
      <c r="F754" s="24"/>
      <c r="G754" s="24"/>
      <c r="H754" s="11"/>
    </row>
    <row r="755" spans="1:8" ht="12.75" hidden="1">
      <c r="A755" s="11"/>
      <c r="B755" s="11"/>
      <c r="C755" s="11"/>
      <c r="D755" s="24"/>
      <c r="E755" s="11"/>
      <c r="F755" s="24"/>
      <c r="G755" s="24"/>
      <c r="H755" s="11"/>
    </row>
    <row r="756" spans="1:8" ht="12.75" hidden="1">
      <c r="A756" s="11"/>
      <c r="B756" s="11"/>
      <c r="C756" s="11"/>
      <c r="D756" s="24"/>
      <c r="E756" s="11"/>
      <c r="F756" s="24"/>
      <c r="G756" s="24"/>
      <c r="H756" s="11"/>
    </row>
    <row r="757" spans="1:8" ht="12.75" hidden="1">
      <c r="A757" s="11"/>
      <c r="B757" s="11"/>
      <c r="C757" s="11"/>
      <c r="D757" s="24"/>
      <c r="E757" s="11"/>
      <c r="F757" s="24"/>
      <c r="G757" s="24"/>
      <c r="H757" s="11"/>
    </row>
    <row r="758" spans="1:8" ht="12.75" hidden="1">
      <c r="A758" s="11"/>
      <c r="B758" s="11"/>
      <c r="C758" s="11"/>
      <c r="D758" s="24"/>
      <c r="E758" s="11"/>
      <c r="F758" s="24"/>
      <c r="G758" s="24"/>
      <c r="H758" s="11"/>
    </row>
    <row r="759" spans="1:8" ht="12.75" hidden="1">
      <c r="A759" s="11"/>
      <c r="B759" s="11"/>
      <c r="C759" s="11"/>
      <c r="D759" s="24"/>
      <c r="E759" s="11"/>
      <c r="F759" s="24"/>
      <c r="G759" s="24"/>
      <c r="H759" s="11"/>
    </row>
    <row r="760" spans="1:8" ht="12.75" hidden="1">
      <c r="A760" s="11"/>
      <c r="B760" s="11"/>
      <c r="C760" s="11"/>
      <c r="D760" s="24"/>
      <c r="E760" s="11"/>
      <c r="F760" s="24"/>
      <c r="G760" s="24"/>
      <c r="H760" s="11"/>
    </row>
    <row r="761" spans="1:8" ht="12.75" hidden="1">
      <c r="A761" s="11"/>
      <c r="B761" s="11"/>
      <c r="C761" s="11"/>
      <c r="D761" s="24"/>
      <c r="E761" s="11"/>
      <c r="F761" s="24"/>
      <c r="G761" s="24"/>
      <c r="H761" s="11"/>
    </row>
    <row r="762" spans="1:8" ht="12.75" hidden="1">
      <c r="A762" s="11"/>
      <c r="B762" s="11"/>
      <c r="C762" s="11"/>
      <c r="D762" s="24"/>
      <c r="E762" s="11"/>
      <c r="F762" s="24"/>
      <c r="G762" s="24"/>
      <c r="H762" s="11"/>
    </row>
    <row r="763" spans="1:8" ht="12.75" hidden="1">
      <c r="A763" s="11"/>
      <c r="B763" s="11"/>
      <c r="C763" s="11"/>
      <c r="D763" s="24"/>
      <c r="E763" s="11"/>
      <c r="F763" s="24"/>
      <c r="G763" s="24"/>
      <c r="H763" s="11"/>
    </row>
    <row r="764" spans="1:8" ht="12.75" hidden="1">
      <c r="A764" s="11"/>
      <c r="B764" s="11"/>
      <c r="C764" s="11"/>
      <c r="D764" s="24"/>
      <c r="E764" s="11"/>
      <c r="F764" s="24"/>
      <c r="G764" s="24"/>
      <c r="H764" s="11"/>
    </row>
    <row r="765" spans="1:8" ht="12.75" hidden="1">
      <c r="A765" s="11"/>
      <c r="B765" s="11"/>
      <c r="C765" s="11"/>
      <c r="D765" s="24"/>
      <c r="E765" s="11"/>
      <c r="F765" s="24"/>
      <c r="G765" s="24"/>
      <c r="H765" s="11"/>
    </row>
    <row r="766" spans="1:8" ht="12.75" hidden="1">
      <c r="A766" s="11"/>
      <c r="B766" s="11"/>
      <c r="C766" s="11"/>
      <c r="D766" s="24"/>
      <c r="E766" s="11"/>
      <c r="F766" s="24"/>
      <c r="G766" s="24"/>
      <c r="H766" s="11"/>
    </row>
    <row r="767" spans="1:8" ht="12.75" hidden="1">
      <c r="A767" s="11"/>
      <c r="B767" s="11"/>
      <c r="C767" s="11"/>
      <c r="D767" s="24"/>
      <c r="E767" s="11"/>
      <c r="F767" s="24"/>
      <c r="G767" s="24"/>
      <c r="H767" s="11"/>
    </row>
    <row r="768" spans="1:8" ht="12.75" hidden="1">
      <c r="A768" s="11"/>
      <c r="B768" s="11"/>
      <c r="C768" s="11"/>
      <c r="D768" s="24"/>
      <c r="E768" s="11"/>
      <c r="F768" s="24"/>
      <c r="G768" s="24"/>
      <c r="H768" s="11"/>
    </row>
    <row r="769" spans="1:8" ht="12.75" hidden="1">
      <c r="A769" s="11"/>
      <c r="B769" s="11"/>
      <c r="C769" s="11"/>
      <c r="D769" s="24"/>
      <c r="E769" s="11"/>
      <c r="F769" s="24"/>
      <c r="G769" s="24"/>
      <c r="H769" s="11"/>
    </row>
    <row r="770" spans="1:8" ht="12.75" hidden="1">
      <c r="A770" s="11"/>
      <c r="B770" s="11"/>
      <c r="C770" s="11"/>
      <c r="D770" s="24"/>
      <c r="E770" s="11"/>
      <c r="F770" s="24"/>
      <c r="G770" s="24"/>
      <c r="H770" s="11"/>
    </row>
    <row r="771" spans="1:8" ht="12.75" hidden="1">
      <c r="A771" s="11"/>
      <c r="B771" s="11"/>
      <c r="C771" s="11"/>
      <c r="D771" s="24"/>
      <c r="E771" s="11"/>
      <c r="F771" s="24"/>
      <c r="G771" s="24"/>
      <c r="H771" s="11"/>
    </row>
    <row r="772" spans="1:8" ht="12.75" hidden="1">
      <c r="A772" s="11"/>
      <c r="B772" s="11"/>
      <c r="C772" s="11"/>
      <c r="D772" s="24"/>
      <c r="E772" s="11"/>
      <c r="F772" s="24"/>
      <c r="G772" s="24"/>
      <c r="H772" s="11"/>
    </row>
    <row r="773" spans="1:8" ht="12.75" hidden="1">
      <c r="A773" s="11"/>
      <c r="B773" s="11"/>
      <c r="C773" s="11"/>
      <c r="D773" s="24"/>
      <c r="E773" s="11"/>
      <c r="F773" s="24"/>
      <c r="G773" s="24"/>
      <c r="H773" s="11"/>
    </row>
    <row r="774" spans="1:8" ht="12.75" hidden="1">
      <c r="A774" s="11"/>
      <c r="B774" s="11"/>
      <c r="C774" s="11"/>
      <c r="D774" s="24"/>
      <c r="E774" s="11"/>
      <c r="F774" s="24"/>
      <c r="G774" s="24"/>
      <c r="H774" s="11"/>
    </row>
    <row r="775" spans="1:8" ht="12.75" hidden="1">
      <c r="A775" s="11"/>
      <c r="B775" s="11"/>
      <c r="C775" s="11"/>
      <c r="D775" s="24"/>
      <c r="E775" s="11"/>
      <c r="F775" s="24"/>
      <c r="G775" s="24"/>
      <c r="H775" s="11"/>
    </row>
    <row r="776" spans="1:8" ht="12.75" hidden="1">
      <c r="A776" s="11"/>
      <c r="B776" s="11"/>
      <c r="C776" s="11"/>
      <c r="D776" s="24"/>
      <c r="E776" s="11"/>
      <c r="F776" s="24"/>
      <c r="G776" s="24"/>
      <c r="H776" s="11"/>
    </row>
    <row r="777" spans="1:8" ht="12.75" hidden="1">
      <c r="A777" s="11"/>
      <c r="B777" s="11"/>
      <c r="C777" s="11"/>
      <c r="D777" s="24"/>
      <c r="E777" s="11"/>
      <c r="F777" s="24"/>
      <c r="G777" s="24"/>
      <c r="H777" s="11"/>
    </row>
    <row r="778" spans="1:8" ht="12.75" hidden="1">
      <c r="A778" s="11"/>
      <c r="B778" s="11"/>
      <c r="C778" s="11"/>
      <c r="D778" s="24"/>
      <c r="E778" s="11"/>
      <c r="F778" s="24"/>
      <c r="G778" s="24"/>
      <c r="H778" s="11"/>
    </row>
    <row r="779" spans="1:8" ht="12.75" hidden="1">
      <c r="A779" s="11"/>
      <c r="B779" s="11"/>
      <c r="C779" s="11"/>
      <c r="D779" s="24"/>
      <c r="E779" s="11"/>
      <c r="F779" s="24"/>
      <c r="G779" s="24"/>
      <c r="H779" s="11"/>
    </row>
    <row r="780" spans="1:8" ht="12.75" hidden="1">
      <c r="A780" s="11"/>
      <c r="B780" s="11"/>
      <c r="C780" s="11"/>
      <c r="D780" s="24"/>
      <c r="E780" s="11"/>
      <c r="F780" s="24"/>
      <c r="G780" s="24"/>
      <c r="H780" s="11"/>
    </row>
    <row r="781" spans="1:8" ht="12.75" hidden="1">
      <c r="A781" s="11"/>
      <c r="B781" s="11"/>
      <c r="C781" s="11"/>
      <c r="D781" s="24"/>
      <c r="E781" s="11"/>
      <c r="F781" s="24"/>
      <c r="G781" s="24"/>
      <c r="H781" s="11"/>
    </row>
    <row r="782" spans="1:8" ht="12.75" hidden="1">
      <c r="A782" s="11"/>
      <c r="B782" s="11"/>
      <c r="C782" s="11"/>
      <c r="D782" s="24"/>
      <c r="E782" s="11"/>
      <c r="F782" s="24"/>
      <c r="G782" s="24"/>
      <c r="H782" s="11"/>
    </row>
    <row r="783" spans="1:8" ht="12.75" hidden="1">
      <c r="A783" s="11"/>
      <c r="B783" s="11"/>
      <c r="C783" s="11"/>
      <c r="D783" s="24"/>
      <c r="E783" s="11"/>
      <c r="F783" s="24"/>
      <c r="G783" s="24"/>
      <c r="H783" s="11"/>
    </row>
    <row r="784" spans="1:8" ht="12.75" hidden="1">
      <c r="A784" s="11"/>
      <c r="B784" s="11"/>
      <c r="C784" s="11"/>
      <c r="D784" s="24"/>
      <c r="E784" s="11"/>
      <c r="F784" s="24"/>
      <c r="G784" s="24"/>
      <c r="H784" s="11"/>
    </row>
    <row r="785" spans="1:8" ht="12.75" hidden="1">
      <c r="A785" s="11"/>
      <c r="B785" s="11"/>
      <c r="C785" s="11"/>
      <c r="D785" s="24"/>
      <c r="E785" s="11"/>
      <c r="F785" s="24"/>
      <c r="G785" s="24"/>
      <c r="H785" s="11"/>
    </row>
    <row r="786" spans="1:8" ht="12.75" hidden="1">
      <c r="A786" s="11"/>
      <c r="B786" s="11"/>
      <c r="C786" s="11"/>
      <c r="D786" s="24"/>
      <c r="E786" s="11"/>
      <c r="F786" s="24"/>
      <c r="G786" s="24"/>
      <c r="H786" s="11"/>
    </row>
    <row r="787" spans="1:8" ht="12.75" hidden="1">
      <c r="A787" s="11"/>
      <c r="B787" s="11"/>
      <c r="C787" s="11"/>
      <c r="D787" s="24"/>
      <c r="E787" s="11"/>
      <c r="F787" s="24"/>
      <c r="G787" s="24"/>
      <c r="H787" s="11"/>
    </row>
    <row r="788" spans="1:8" ht="12.75" hidden="1">
      <c r="A788" s="11"/>
      <c r="B788" s="11"/>
      <c r="C788" s="11"/>
      <c r="D788" s="24"/>
      <c r="E788" s="11"/>
      <c r="F788" s="24"/>
      <c r="G788" s="24"/>
      <c r="H788" s="11"/>
    </row>
    <row r="789" spans="1:8" ht="12.75" hidden="1">
      <c r="A789" s="11"/>
      <c r="B789" s="11"/>
      <c r="C789" s="11"/>
      <c r="D789" s="24"/>
      <c r="E789" s="11"/>
      <c r="F789" s="24"/>
      <c r="G789" s="24"/>
      <c r="H789" s="11"/>
    </row>
    <row r="790" spans="1:8" ht="12.75" hidden="1">
      <c r="A790" s="11"/>
      <c r="B790" s="11"/>
      <c r="C790" s="11"/>
      <c r="D790" s="24"/>
      <c r="E790" s="11"/>
      <c r="F790" s="24"/>
      <c r="G790" s="24"/>
      <c r="H790" s="11"/>
    </row>
    <row r="791" spans="1:8" ht="12.75" hidden="1">
      <c r="A791" s="11"/>
      <c r="B791" s="11"/>
      <c r="C791" s="11"/>
      <c r="D791" s="24"/>
      <c r="E791" s="11"/>
      <c r="F791" s="24"/>
      <c r="G791" s="24"/>
      <c r="H791" s="11"/>
    </row>
    <row r="792" spans="1:8" ht="12.75" hidden="1">
      <c r="A792" s="11"/>
      <c r="B792" s="11"/>
      <c r="C792" s="11"/>
      <c r="D792" s="24"/>
      <c r="E792" s="11"/>
      <c r="F792" s="24"/>
      <c r="G792" s="24"/>
      <c r="H792" s="11"/>
    </row>
    <row r="793" spans="1:8" ht="12.75" hidden="1">
      <c r="A793" s="11"/>
      <c r="B793" s="11"/>
      <c r="C793" s="11"/>
      <c r="D793" s="24"/>
      <c r="E793" s="11"/>
      <c r="F793" s="24"/>
      <c r="G793" s="24"/>
      <c r="H793" s="11"/>
    </row>
    <row r="794" spans="1:8" ht="12.75" hidden="1">
      <c r="A794" s="11"/>
      <c r="B794" s="11"/>
      <c r="C794" s="11"/>
      <c r="D794" s="24"/>
      <c r="E794" s="11"/>
      <c r="F794" s="24"/>
      <c r="G794" s="24"/>
      <c r="H794" s="11"/>
    </row>
    <row r="795" spans="1:8" ht="12.75" hidden="1">
      <c r="A795" s="11"/>
      <c r="B795" s="11"/>
      <c r="C795" s="11"/>
      <c r="D795" s="24"/>
      <c r="E795" s="11"/>
      <c r="F795" s="24"/>
      <c r="G795" s="24"/>
      <c r="H795" s="11"/>
    </row>
    <row r="796" spans="1:8" ht="12.75" hidden="1">
      <c r="A796" s="11"/>
      <c r="B796" s="11"/>
      <c r="C796" s="11"/>
      <c r="D796" s="24"/>
      <c r="E796" s="11"/>
      <c r="F796" s="24"/>
      <c r="G796" s="24"/>
      <c r="H796" s="11"/>
    </row>
    <row r="797" spans="1:8" ht="12.75" hidden="1">
      <c r="A797" s="11"/>
      <c r="B797" s="11"/>
      <c r="C797" s="11"/>
      <c r="D797" s="24"/>
      <c r="E797" s="11"/>
      <c r="F797" s="24"/>
      <c r="G797" s="24"/>
      <c r="H797" s="11"/>
    </row>
    <row r="798" spans="1:8" ht="12.75" hidden="1">
      <c r="A798" s="11"/>
      <c r="B798" s="11"/>
      <c r="C798" s="11"/>
      <c r="D798" s="24"/>
      <c r="E798" s="11"/>
      <c r="F798" s="24"/>
      <c r="G798" s="24"/>
      <c r="H798" s="11"/>
    </row>
    <row r="799" spans="1:8" ht="12.75" hidden="1">
      <c r="A799" s="11"/>
      <c r="B799" s="11"/>
      <c r="C799" s="11"/>
      <c r="D799" s="24"/>
      <c r="E799" s="11"/>
      <c r="F799" s="24"/>
      <c r="G799" s="24"/>
      <c r="H799" s="11"/>
    </row>
    <row r="800" spans="1:8" ht="12.75" hidden="1">
      <c r="A800" s="11"/>
      <c r="B800" s="11"/>
      <c r="C800" s="11"/>
      <c r="D800" s="24"/>
      <c r="E800" s="11"/>
      <c r="F800" s="24"/>
      <c r="G800" s="24"/>
      <c r="H800" s="11"/>
    </row>
    <row r="801" spans="1:8" ht="12.75" hidden="1">
      <c r="A801" s="11"/>
      <c r="B801" s="11"/>
      <c r="C801" s="11"/>
      <c r="D801" s="24"/>
      <c r="E801" s="11"/>
      <c r="F801" s="24"/>
      <c r="G801" s="24"/>
      <c r="H801" s="11"/>
    </row>
    <row r="802" spans="1:8" ht="12.75" hidden="1">
      <c r="A802" s="11"/>
      <c r="B802" s="11"/>
      <c r="C802" s="11"/>
      <c r="D802" s="24"/>
      <c r="E802" s="11"/>
      <c r="F802" s="24"/>
      <c r="G802" s="24"/>
      <c r="H802" s="11"/>
    </row>
    <row r="803" spans="1:8" ht="12.75" hidden="1">
      <c r="A803" s="11"/>
      <c r="B803" s="11"/>
      <c r="C803" s="11"/>
      <c r="D803" s="24"/>
      <c r="E803" s="11"/>
      <c r="F803" s="24"/>
      <c r="G803" s="24"/>
      <c r="H803" s="11"/>
    </row>
    <row r="804" spans="1:8" ht="12.75" hidden="1">
      <c r="A804" s="11"/>
      <c r="B804" s="11"/>
      <c r="C804" s="11"/>
      <c r="D804" s="24"/>
      <c r="E804" s="11"/>
      <c r="F804" s="24"/>
      <c r="G804" s="24"/>
      <c r="H804" s="11"/>
    </row>
    <row r="805" spans="1:8" ht="12.75" hidden="1">
      <c r="A805" s="11"/>
      <c r="B805" s="11"/>
      <c r="C805" s="11"/>
      <c r="D805" s="24"/>
      <c r="E805" s="11"/>
      <c r="F805" s="24"/>
      <c r="G805" s="24"/>
      <c r="H805" s="11"/>
    </row>
    <row r="806" spans="1:8" ht="12.75" hidden="1">
      <c r="A806" s="11"/>
      <c r="B806" s="11"/>
      <c r="C806" s="11"/>
      <c r="D806" s="24"/>
      <c r="E806" s="11"/>
      <c r="F806" s="24"/>
      <c r="G806" s="24"/>
      <c r="H806" s="11"/>
    </row>
    <row r="807" spans="1:8" ht="12.75" hidden="1">
      <c r="A807" s="11"/>
      <c r="B807" s="11"/>
      <c r="C807" s="11"/>
      <c r="D807" s="24"/>
      <c r="E807" s="11"/>
      <c r="F807" s="24"/>
      <c r="G807" s="24"/>
      <c r="H807" s="11"/>
    </row>
    <row r="808" spans="1:8" ht="12.75" hidden="1">
      <c r="A808" s="11"/>
      <c r="B808" s="11"/>
      <c r="C808" s="11"/>
      <c r="D808" s="24"/>
      <c r="E808" s="11"/>
      <c r="F808" s="24"/>
      <c r="G808" s="24"/>
      <c r="H808" s="11"/>
    </row>
    <row r="809" spans="1:8" ht="12.75" hidden="1">
      <c r="A809" s="11"/>
      <c r="B809" s="11"/>
      <c r="C809" s="11"/>
      <c r="D809" s="24"/>
      <c r="E809" s="11"/>
      <c r="F809" s="24"/>
      <c r="G809" s="24"/>
      <c r="H809" s="11"/>
    </row>
    <row r="810" spans="1:8" ht="12.75" hidden="1">
      <c r="A810" s="11"/>
      <c r="B810" s="11"/>
      <c r="C810" s="11"/>
      <c r="D810" s="24"/>
      <c r="E810" s="11"/>
      <c r="F810" s="24"/>
      <c r="G810" s="24"/>
      <c r="H810" s="11"/>
    </row>
    <row r="811" spans="1:8" ht="12.75" hidden="1">
      <c r="A811" s="11"/>
      <c r="B811" s="11"/>
      <c r="C811" s="11"/>
      <c r="D811" s="24"/>
      <c r="E811" s="11"/>
      <c r="F811" s="24"/>
      <c r="G811" s="24"/>
      <c r="H811" s="11"/>
    </row>
    <row r="812" spans="1:8" ht="12.75" hidden="1">
      <c r="A812" s="11"/>
      <c r="B812" s="11"/>
      <c r="C812" s="11"/>
      <c r="D812" s="24"/>
      <c r="E812" s="11"/>
      <c r="F812" s="24"/>
      <c r="G812" s="24"/>
      <c r="H812" s="11"/>
    </row>
    <row r="813" spans="1:8" ht="12.75" hidden="1">
      <c r="A813" s="11"/>
      <c r="B813" s="11"/>
      <c r="C813" s="11"/>
      <c r="D813" s="24"/>
      <c r="E813" s="11"/>
      <c r="F813" s="24"/>
      <c r="G813" s="24"/>
      <c r="H813" s="11"/>
    </row>
    <row r="814" spans="1:8" ht="12.75" hidden="1">
      <c r="A814" s="11"/>
      <c r="B814" s="11"/>
      <c r="C814" s="11"/>
      <c r="D814" s="24"/>
      <c r="E814" s="11"/>
      <c r="F814" s="24"/>
      <c r="G814" s="24"/>
      <c r="H814" s="11"/>
    </row>
    <row r="815" spans="1:8" ht="12.75" hidden="1">
      <c r="A815" s="11"/>
      <c r="B815" s="11"/>
      <c r="C815" s="11"/>
      <c r="D815" s="24"/>
      <c r="E815" s="11"/>
      <c r="F815" s="24"/>
      <c r="G815" s="24"/>
      <c r="H815" s="11"/>
    </row>
    <row r="816" spans="1:8" ht="12.75" hidden="1">
      <c r="A816" s="11"/>
      <c r="B816" s="11"/>
      <c r="C816" s="11"/>
      <c r="D816" s="24"/>
      <c r="E816" s="11"/>
      <c r="F816" s="24"/>
      <c r="G816" s="24"/>
      <c r="H816" s="11"/>
    </row>
    <row r="817" spans="1:8" ht="12.75" hidden="1">
      <c r="A817" s="11"/>
      <c r="B817" s="11"/>
      <c r="C817" s="11"/>
      <c r="D817" s="24"/>
      <c r="E817" s="11"/>
      <c r="F817" s="24"/>
      <c r="G817" s="24"/>
      <c r="H817" s="11"/>
    </row>
    <row r="818" spans="1:8" ht="12.75" hidden="1">
      <c r="A818" s="11"/>
      <c r="B818" s="11"/>
      <c r="C818" s="11"/>
      <c r="D818" s="24"/>
      <c r="E818" s="11"/>
      <c r="F818" s="24"/>
      <c r="G818" s="24"/>
      <c r="H818" s="11"/>
    </row>
    <row r="819" spans="1:8" ht="12.75" hidden="1">
      <c r="A819" s="11"/>
      <c r="B819" s="11"/>
      <c r="C819" s="11"/>
      <c r="D819" s="24"/>
      <c r="E819" s="11"/>
      <c r="F819" s="24"/>
      <c r="G819" s="24"/>
      <c r="H819" s="11"/>
    </row>
    <row r="820" spans="1:8" ht="12.75" hidden="1">
      <c r="A820" s="11"/>
      <c r="B820" s="11"/>
      <c r="C820" s="11"/>
      <c r="D820" s="24"/>
      <c r="E820" s="11"/>
      <c r="F820" s="24"/>
      <c r="G820" s="24"/>
      <c r="H820" s="11"/>
    </row>
    <row r="821" spans="1:8" ht="12.75" hidden="1">
      <c r="A821" s="11"/>
      <c r="B821" s="11"/>
      <c r="C821" s="11"/>
      <c r="D821" s="24"/>
      <c r="E821" s="11"/>
      <c r="F821" s="24"/>
      <c r="G821" s="24"/>
      <c r="H821" s="11"/>
    </row>
    <row r="822" spans="1:8" ht="12.75" hidden="1">
      <c r="A822" s="11"/>
      <c r="B822" s="11"/>
      <c r="C822" s="11"/>
      <c r="D822" s="24"/>
      <c r="E822" s="11"/>
      <c r="F822" s="24"/>
      <c r="G822" s="24"/>
      <c r="H822" s="11"/>
    </row>
    <row r="823" spans="1:8" ht="12.75" hidden="1">
      <c r="A823" s="11"/>
      <c r="B823" s="11"/>
      <c r="C823" s="11"/>
      <c r="D823" s="24"/>
      <c r="E823" s="11"/>
      <c r="F823" s="24"/>
      <c r="G823" s="24"/>
      <c r="H823" s="11"/>
    </row>
    <row r="824" spans="1:8" ht="12.75" hidden="1">
      <c r="A824" s="11"/>
      <c r="B824" s="11"/>
      <c r="C824" s="11"/>
      <c r="D824" s="24"/>
      <c r="E824" s="11"/>
      <c r="F824" s="24"/>
      <c r="G824" s="24"/>
      <c r="H824" s="11"/>
    </row>
    <row r="825" spans="1:8" ht="12.75" hidden="1">
      <c r="A825" s="11"/>
      <c r="B825" s="11"/>
      <c r="C825" s="11"/>
      <c r="D825" s="24"/>
      <c r="E825" s="11"/>
      <c r="F825" s="24"/>
      <c r="G825" s="24"/>
      <c r="H825" s="11"/>
    </row>
    <row r="826" spans="1:8" ht="12.75" hidden="1">
      <c r="A826" s="11"/>
      <c r="B826" s="11"/>
      <c r="C826" s="11"/>
      <c r="D826" s="24"/>
      <c r="E826" s="11"/>
      <c r="F826" s="24"/>
      <c r="G826" s="24"/>
      <c r="H826" s="11"/>
    </row>
    <row r="827" spans="1:8" ht="12.75" hidden="1">
      <c r="A827" s="11"/>
      <c r="B827" s="11"/>
      <c r="C827" s="11"/>
      <c r="D827" s="24"/>
      <c r="E827" s="11"/>
      <c r="F827" s="24"/>
      <c r="G827" s="24"/>
      <c r="H827" s="11"/>
    </row>
    <row r="828" spans="1:8" ht="12.75" hidden="1">
      <c r="A828" s="11"/>
      <c r="B828" s="11"/>
      <c r="C828" s="11"/>
      <c r="D828" s="24"/>
      <c r="E828" s="11"/>
      <c r="F828" s="24"/>
      <c r="G828" s="24"/>
      <c r="H828" s="11"/>
    </row>
    <row r="829" spans="1:8" ht="12.75" hidden="1">
      <c r="A829" s="11"/>
      <c r="B829" s="11"/>
      <c r="C829" s="11"/>
      <c r="D829" s="24"/>
      <c r="E829" s="11"/>
      <c r="F829" s="24"/>
      <c r="G829" s="24"/>
      <c r="H829" s="11"/>
    </row>
    <row r="830" spans="1:8" ht="12.75" hidden="1">
      <c r="A830" s="11"/>
      <c r="B830" s="11"/>
      <c r="C830" s="11"/>
      <c r="D830" s="24"/>
      <c r="E830" s="11"/>
      <c r="F830" s="24"/>
      <c r="G830" s="24"/>
      <c r="H830" s="11"/>
    </row>
    <row r="831" spans="1:8" ht="12.75" hidden="1">
      <c r="A831" s="11"/>
      <c r="B831" s="11"/>
      <c r="C831" s="11"/>
      <c r="D831" s="24"/>
      <c r="E831" s="11"/>
      <c r="F831" s="24"/>
      <c r="G831" s="24"/>
      <c r="H831" s="11"/>
    </row>
    <row r="832" spans="1:8" ht="12.75" hidden="1">
      <c r="A832" s="11"/>
      <c r="B832" s="11"/>
      <c r="C832" s="11"/>
      <c r="D832" s="24"/>
      <c r="E832" s="11"/>
      <c r="F832" s="24"/>
      <c r="G832" s="24"/>
      <c r="H832" s="11"/>
    </row>
    <row r="833" spans="1:8" ht="12.75" hidden="1">
      <c r="A833" s="11"/>
      <c r="B833" s="11"/>
      <c r="C833" s="11"/>
      <c r="D833" s="24"/>
      <c r="E833" s="11"/>
      <c r="F833" s="24"/>
      <c r="G833" s="24"/>
      <c r="H833" s="11"/>
    </row>
    <row r="834" spans="1:8" ht="12.75" hidden="1">
      <c r="A834" s="11"/>
      <c r="B834" s="11"/>
      <c r="C834" s="11"/>
      <c r="D834" s="24"/>
      <c r="E834" s="11"/>
      <c r="F834" s="24"/>
      <c r="G834" s="24"/>
      <c r="H834" s="11"/>
    </row>
    <row r="835" spans="1:8" ht="12.75" hidden="1">
      <c r="A835" s="11"/>
      <c r="B835" s="11"/>
      <c r="C835" s="11"/>
      <c r="D835" s="24"/>
      <c r="E835" s="11"/>
      <c r="F835" s="24"/>
      <c r="G835" s="24"/>
      <c r="H835" s="11"/>
    </row>
    <row r="836" spans="1:8" ht="12.75" hidden="1">
      <c r="A836" s="11"/>
      <c r="B836" s="11"/>
      <c r="C836" s="11"/>
      <c r="D836" s="24"/>
      <c r="E836" s="11"/>
      <c r="F836" s="24"/>
      <c r="G836" s="24"/>
      <c r="H836" s="11"/>
    </row>
    <row r="837" spans="1:8" ht="12.75" hidden="1">
      <c r="A837" s="11"/>
      <c r="B837" s="11"/>
      <c r="C837" s="11"/>
      <c r="D837" s="24"/>
      <c r="E837" s="11"/>
      <c r="F837" s="24"/>
      <c r="G837" s="24"/>
      <c r="H837" s="11"/>
    </row>
    <row r="838" spans="1:8" ht="12.75" hidden="1">
      <c r="A838" s="11"/>
      <c r="B838" s="11"/>
      <c r="C838" s="11"/>
      <c r="D838" s="24"/>
      <c r="E838" s="11"/>
      <c r="F838" s="24"/>
      <c r="G838" s="24"/>
      <c r="H838" s="11"/>
    </row>
    <row r="839" spans="1:8" ht="12.75" hidden="1">
      <c r="A839" s="11"/>
      <c r="B839" s="11"/>
      <c r="C839" s="11"/>
      <c r="D839" s="24"/>
      <c r="E839" s="11"/>
      <c r="F839" s="24"/>
      <c r="G839" s="24"/>
      <c r="H839" s="11"/>
    </row>
    <row r="840" spans="1:8" ht="12.75" hidden="1">
      <c r="A840" s="11"/>
      <c r="B840" s="11"/>
      <c r="C840" s="11"/>
      <c r="D840" s="24"/>
      <c r="E840" s="11"/>
      <c r="F840" s="24"/>
      <c r="G840" s="24"/>
      <c r="H840" s="11"/>
    </row>
    <row r="841" spans="1:8" ht="12.75" hidden="1">
      <c r="A841" s="11"/>
      <c r="B841" s="11"/>
      <c r="C841" s="11"/>
      <c r="D841" s="24"/>
      <c r="E841" s="11"/>
      <c r="F841" s="24"/>
      <c r="G841" s="24"/>
      <c r="H841" s="11"/>
    </row>
    <row r="842" spans="1:8" ht="12.75" hidden="1">
      <c r="A842" s="11"/>
      <c r="B842" s="11"/>
      <c r="C842" s="11"/>
      <c r="D842" s="24"/>
      <c r="E842" s="11"/>
      <c r="F842" s="24"/>
      <c r="G842" s="24"/>
      <c r="H842" s="11"/>
    </row>
    <row r="843" spans="1:8" ht="12.75" hidden="1">
      <c r="A843" s="11"/>
      <c r="B843" s="11"/>
      <c r="C843" s="11"/>
      <c r="D843" s="24"/>
      <c r="E843" s="11"/>
      <c r="F843" s="24"/>
      <c r="G843" s="24"/>
      <c r="H843" s="11"/>
    </row>
    <row r="844" spans="1:8" ht="12.75" hidden="1">
      <c r="A844" s="11"/>
      <c r="B844" s="11"/>
      <c r="C844" s="11"/>
      <c r="D844" s="24"/>
      <c r="E844" s="11"/>
      <c r="F844" s="24"/>
      <c r="G844" s="24"/>
      <c r="H844" s="11"/>
    </row>
    <row r="845" spans="1:8" ht="12.75" hidden="1">
      <c r="A845" s="11"/>
      <c r="B845" s="11"/>
      <c r="C845" s="11"/>
      <c r="D845" s="24"/>
      <c r="E845" s="11"/>
      <c r="F845" s="24"/>
      <c r="G845" s="24"/>
      <c r="H845" s="11"/>
    </row>
    <row r="846" spans="1:8" ht="12.75" hidden="1">
      <c r="A846" s="11"/>
      <c r="B846" s="11"/>
      <c r="C846" s="11"/>
      <c r="D846" s="24"/>
      <c r="E846" s="11"/>
      <c r="F846" s="24"/>
      <c r="G846" s="24"/>
      <c r="H846" s="11"/>
    </row>
    <row r="847" spans="1:8" ht="12.75" hidden="1">
      <c r="A847" s="11"/>
      <c r="B847" s="11"/>
      <c r="C847" s="11"/>
      <c r="D847" s="24"/>
      <c r="E847" s="11"/>
      <c r="F847" s="24"/>
      <c r="G847" s="24"/>
      <c r="H847" s="11"/>
    </row>
    <row r="848" spans="1:8" ht="12.75" hidden="1">
      <c r="A848" s="11"/>
      <c r="B848" s="11"/>
      <c r="C848" s="11"/>
      <c r="D848" s="24"/>
      <c r="E848" s="11"/>
      <c r="F848" s="24"/>
      <c r="G848" s="24"/>
      <c r="H848" s="11"/>
    </row>
    <row r="849" spans="1:8" ht="12.75" hidden="1">
      <c r="A849" s="11"/>
      <c r="B849" s="11"/>
      <c r="C849" s="11"/>
      <c r="D849" s="24"/>
      <c r="E849" s="11"/>
      <c r="F849" s="24"/>
      <c r="G849" s="24"/>
      <c r="H849" s="11"/>
    </row>
    <row r="850" spans="1:8" ht="12.75" hidden="1">
      <c r="A850" s="11"/>
      <c r="B850" s="11"/>
      <c r="C850" s="11"/>
      <c r="D850" s="24"/>
      <c r="E850" s="11"/>
      <c r="F850" s="24"/>
      <c r="G850" s="24"/>
      <c r="H850" s="11"/>
    </row>
    <row r="851" spans="1:8" ht="12.75" hidden="1">
      <c r="A851" s="11"/>
      <c r="B851" s="11"/>
      <c r="C851" s="11"/>
      <c r="D851" s="24"/>
      <c r="E851" s="11"/>
      <c r="F851" s="24"/>
      <c r="G851" s="24"/>
      <c r="H851" s="11"/>
    </row>
    <row r="852" spans="1:8" ht="12.75" hidden="1">
      <c r="A852" s="11"/>
      <c r="B852" s="11"/>
      <c r="C852" s="11"/>
      <c r="D852" s="24"/>
      <c r="E852" s="11"/>
      <c r="F852" s="24"/>
      <c r="G852" s="24"/>
      <c r="H852" s="11"/>
    </row>
    <row r="853" spans="1:8" ht="12.75" hidden="1">
      <c r="A853" s="11"/>
      <c r="B853" s="11"/>
      <c r="C853" s="11"/>
      <c r="D853" s="24"/>
      <c r="E853" s="11"/>
      <c r="F853" s="24"/>
      <c r="G853" s="24"/>
      <c r="H853" s="11"/>
    </row>
    <row r="854" spans="1:8" ht="12.75" hidden="1">
      <c r="A854" s="11"/>
      <c r="B854" s="11"/>
      <c r="C854" s="11"/>
      <c r="D854" s="24"/>
      <c r="E854" s="11"/>
      <c r="F854" s="24"/>
      <c r="G854" s="24"/>
      <c r="H854" s="11"/>
    </row>
    <row r="855" spans="1:8" ht="12.75" hidden="1">
      <c r="A855" s="11"/>
      <c r="B855" s="11"/>
      <c r="C855" s="11"/>
      <c r="D855" s="24"/>
      <c r="E855" s="11"/>
      <c r="F855" s="24"/>
      <c r="G855" s="24"/>
      <c r="H855" s="11"/>
    </row>
    <row r="856" spans="1:8" ht="12.75" hidden="1">
      <c r="A856" s="11"/>
      <c r="B856" s="11"/>
      <c r="C856" s="11"/>
      <c r="D856" s="24"/>
      <c r="E856" s="11"/>
      <c r="F856" s="24"/>
      <c r="G856" s="24"/>
      <c r="H856" s="11"/>
    </row>
    <row r="857" spans="1:8" ht="12.75" hidden="1">
      <c r="A857" s="11"/>
      <c r="B857" s="11"/>
      <c r="C857" s="11"/>
      <c r="D857" s="24"/>
      <c r="E857" s="11"/>
      <c r="F857" s="24"/>
      <c r="G857" s="24"/>
      <c r="H857" s="11"/>
    </row>
    <row r="858" spans="1:8" ht="12.75" hidden="1">
      <c r="A858" s="11"/>
      <c r="B858" s="11"/>
      <c r="C858" s="11"/>
      <c r="D858" s="24"/>
      <c r="E858" s="11"/>
      <c r="F858" s="24"/>
      <c r="G858" s="24"/>
      <c r="H858" s="11"/>
    </row>
    <row r="859" spans="1:8" ht="12.75" hidden="1">
      <c r="A859" s="11"/>
      <c r="B859" s="11"/>
      <c r="C859" s="11"/>
      <c r="D859" s="24"/>
      <c r="E859" s="11"/>
      <c r="F859" s="24"/>
      <c r="G859" s="24"/>
      <c r="H859" s="11"/>
    </row>
    <row r="860" spans="1:8" ht="12.75" hidden="1">
      <c r="A860" s="11"/>
      <c r="B860" s="11"/>
      <c r="C860" s="11"/>
      <c r="D860" s="24"/>
      <c r="E860" s="11"/>
      <c r="F860" s="24"/>
      <c r="G860" s="24"/>
      <c r="H860" s="11"/>
    </row>
    <row r="861" spans="1:8" ht="12.75" hidden="1">
      <c r="A861" s="11"/>
      <c r="B861" s="11"/>
      <c r="C861" s="11"/>
      <c r="D861" s="24"/>
      <c r="E861" s="11"/>
      <c r="F861" s="24"/>
      <c r="G861" s="24"/>
      <c r="H861" s="11"/>
    </row>
    <row r="862" spans="1:8" ht="12.75" hidden="1">
      <c r="A862" s="11"/>
      <c r="B862" s="11"/>
      <c r="C862" s="11"/>
      <c r="D862" s="24"/>
      <c r="E862" s="11"/>
      <c r="F862" s="24"/>
      <c r="G862" s="24"/>
      <c r="H862" s="11"/>
    </row>
    <row r="863" spans="1:8" ht="12.75" hidden="1">
      <c r="A863" s="11"/>
      <c r="B863" s="11"/>
      <c r="C863" s="11"/>
      <c r="D863" s="24"/>
      <c r="E863" s="11"/>
      <c r="F863" s="24"/>
      <c r="G863" s="24"/>
      <c r="H863" s="11"/>
    </row>
    <row r="864" spans="1:8" ht="12.75" hidden="1">
      <c r="A864" s="11"/>
      <c r="B864" s="11"/>
      <c r="C864" s="11"/>
      <c r="D864" s="24"/>
      <c r="E864" s="11"/>
      <c r="F864" s="24"/>
      <c r="G864" s="24"/>
      <c r="H864" s="11"/>
    </row>
    <row r="865" spans="1:8" ht="12.75" hidden="1">
      <c r="A865" s="11"/>
      <c r="B865" s="11"/>
      <c r="C865" s="11"/>
      <c r="D865" s="24"/>
      <c r="E865" s="11"/>
      <c r="F865" s="24"/>
      <c r="G865" s="24"/>
      <c r="H865" s="11"/>
    </row>
    <row r="866" spans="1:8" ht="12.75" hidden="1">
      <c r="A866" s="11"/>
      <c r="B866" s="11"/>
      <c r="C866" s="11"/>
      <c r="D866" s="24"/>
      <c r="E866" s="11"/>
      <c r="F866" s="24"/>
      <c r="G866" s="24"/>
      <c r="H866" s="11"/>
    </row>
    <row r="867" spans="1:8" ht="12.75" hidden="1">
      <c r="A867" s="11"/>
      <c r="B867" s="11"/>
      <c r="C867" s="11"/>
      <c r="D867" s="24"/>
      <c r="E867" s="11"/>
      <c r="F867" s="24"/>
      <c r="G867" s="24"/>
      <c r="H867" s="11"/>
    </row>
    <row r="868" spans="1:8" ht="12.75" hidden="1">
      <c r="A868" s="11"/>
      <c r="B868" s="11"/>
      <c r="C868" s="11"/>
      <c r="D868" s="24"/>
      <c r="E868" s="11"/>
      <c r="F868" s="24"/>
      <c r="G868" s="24"/>
      <c r="H868" s="11"/>
    </row>
    <row r="869" spans="1:8" ht="12.75" hidden="1">
      <c r="A869" s="11"/>
      <c r="B869" s="11"/>
      <c r="C869" s="11"/>
      <c r="D869" s="24"/>
      <c r="E869" s="11"/>
      <c r="F869" s="24"/>
      <c r="G869" s="24"/>
      <c r="H869" s="11"/>
    </row>
    <row r="870" spans="1:8" ht="12.75" hidden="1">
      <c r="A870" s="11"/>
      <c r="B870" s="11"/>
      <c r="C870" s="11"/>
      <c r="D870" s="24"/>
      <c r="E870" s="11"/>
      <c r="F870" s="24"/>
      <c r="G870" s="24"/>
      <c r="H870" s="11"/>
    </row>
    <row r="871" spans="1:8" ht="12.75" hidden="1">
      <c r="A871" s="11"/>
      <c r="B871" s="11"/>
      <c r="C871" s="11"/>
      <c r="D871" s="24"/>
      <c r="E871" s="11"/>
      <c r="F871" s="24"/>
      <c r="G871" s="24"/>
      <c r="H871" s="11"/>
    </row>
    <row r="872" spans="1:8" ht="12.75" hidden="1">
      <c r="A872" s="11"/>
      <c r="B872" s="11"/>
      <c r="C872" s="11"/>
      <c r="D872" s="24"/>
      <c r="E872" s="11"/>
      <c r="F872" s="24"/>
      <c r="G872" s="24"/>
      <c r="H872" s="11"/>
    </row>
    <row r="873" spans="1:8" ht="12.75" hidden="1">
      <c r="A873" s="11"/>
      <c r="B873" s="11"/>
      <c r="C873" s="11"/>
      <c r="D873" s="24"/>
      <c r="E873" s="11"/>
      <c r="F873" s="24"/>
      <c r="G873" s="24"/>
      <c r="H873" s="11"/>
    </row>
    <row r="874" spans="1:8" ht="12.75" hidden="1">
      <c r="A874" s="11"/>
      <c r="B874" s="11"/>
      <c r="C874" s="11"/>
      <c r="D874" s="24"/>
      <c r="E874" s="11"/>
      <c r="F874" s="24"/>
      <c r="G874" s="24"/>
      <c r="H874" s="11"/>
    </row>
    <row r="875" spans="1:8" ht="12.75" hidden="1">
      <c r="A875" s="11"/>
      <c r="B875" s="11"/>
      <c r="C875" s="11"/>
      <c r="D875" s="24"/>
      <c r="E875" s="11"/>
      <c r="F875" s="24"/>
      <c r="G875" s="24"/>
      <c r="H875" s="11"/>
    </row>
    <row r="876" spans="1:8" ht="12.75" hidden="1">
      <c r="A876" s="11"/>
      <c r="B876" s="11"/>
      <c r="C876" s="11"/>
      <c r="D876" s="24"/>
      <c r="E876" s="11"/>
      <c r="F876" s="24"/>
      <c r="G876" s="24"/>
      <c r="H876" s="11"/>
    </row>
    <row r="877" spans="1:8" ht="12.75" hidden="1">
      <c r="A877" s="11"/>
      <c r="B877" s="11"/>
      <c r="C877" s="11"/>
      <c r="D877" s="24"/>
      <c r="E877" s="11"/>
      <c r="F877" s="24"/>
      <c r="G877" s="24"/>
      <c r="H877" s="11"/>
    </row>
    <row r="878" spans="1:8" ht="12.75" hidden="1">
      <c r="A878" s="11"/>
      <c r="B878" s="11"/>
      <c r="C878" s="11"/>
      <c r="D878" s="24"/>
      <c r="E878" s="11"/>
      <c r="F878" s="24"/>
      <c r="G878" s="24"/>
      <c r="H878" s="11"/>
    </row>
    <row r="879" spans="1:8" ht="12.75" hidden="1">
      <c r="A879" s="11"/>
      <c r="B879" s="11"/>
      <c r="C879" s="11"/>
      <c r="D879" s="24"/>
      <c r="E879" s="11"/>
      <c r="F879" s="24"/>
      <c r="G879" s="24"/>
      <c r="H879" s="11"/>
    </row>
    <row r="880" spans="1:8" ht="12.75" hidden="1">
      <c r="A880" s="11"/>
      <c r="B880" s="11"/>
      <c r="C880" s="11"/>
      <c r="D880" s="24"/>
      <c r="E880" s="11"/>
      <c r="F880" s="24"/>
      <c r="G880" s="24"/>
      <c r="H880" s="11"/>
    </row>
    <row r="881" spans="1:8" ht="12.75" hidden="1">
      <c r="A881" s="11"/>
      <c r="B881" s="11"/>
      <c r="C881" s="11"/>
      <c r="D881" s="24"/>
      <c r="E881" s="11"/>
      <c r="F881" s="24"/>
      <c r="G881" s="24"/>
      <c r="H881" s="11"/>
    </row>
    <row r="882" spans="1:8" ht="12.75" hidden="1">
      <c r="A882" s="11"/>
      <c r="B882" s="11"/>
      <c r="C882" s="11"/>
      <c r="D882" s="24"/>
      <c r="E882" s="11"/>
      <c r="F882" s="24"/>
      <c r="G882" s="24"/>
      <c r="H882" s="11"/>
    </row>
    <row r="883" spans="1:8" ht="12.75" hidden="1">
      <c r="A883" s="11"/>
      <c r="B883" s="11"/>
      <c r="C883" s="11"/>
      <c r="D883" s="24"/>
      <c r="E883" s="11"/>
      <c r="F883" s="24"/>
      <c r="G883" s="24"/>
      <c r="H883" s="11"/>
    </row>
    <row r="884" spans="1:8" ht="12.75" hidden="1">
      <c r="A884" s="11"/>
      <c r="B884" s="11"/>
      <c r="C884" s="11"/>
      <c r="D884" s="24"/>
      <c r="E884" s="11"/>
      <c r="F884" s="24"/>
      <c r="G884" s="24"/>
      <c r="H884" s="11"/>
    </row>
    <row r="885" spans="1:8" ht="12.75" hidden="1">
      <c r="A885" s="11"/>
      <c r="B885" s="11"/>
      <c r="C885" s="11"/>
      <c r="D885" s="24"/>
      <c r="E885" s="11"/>
      <c r="F885" s="24"/>
      <c r="G885" s="24"/>
      <c r="H885" s="11"/>
    </row>
    <row r="886" spans="1:8" ht="12.75" hidden="1">
      <c r="A886" s="11"/>
      <c r="B886" s="11"/>
      <c r="C886" s="11"/>
      <c r="D886" s="24"/>
      <c r="E886" s="11"/>
      <c r="F886" s="24"/>
      <c r="G886" s="24"/>
      <c r="H886" s="11"/>
    </row>
    <row r="887" spans="1:8" ht="12.75" hidden="1">
      <c r="A887" s="11"/>
      <c r="B887" s="11"/>
      <c r="C887" s="11"/>
      <c r="D887" s="24"/>
      <c r="E887" s="11"/>
      <c r="F887" s="24"/>
      <c r="G887" s="24"/>
      <c r="H887" s="11"/>
    </row>
    <row r="888" spans="1:8" ht="12.75" hidden="1">
      <c r="A888" s="11"/>
      <c r="B888" s="11"/>
      <c r="C888" s="11"/>
      <c r="D888" s="24"/>
      <c r="E888" s="11"/>
      <c r="F888" s="24"/>
      <c r="G888" s="24"/>
      <c r="H888" s="11"/>
    </row>
    <row r="889" spans="1:8" ht="12.75" hidden="1">
      <c r="A889" s="11"/>
      <c r="B889" s="11"/>
      <c r="C889" s="11"/>
      <c r="D889" s="24"/>
      <c r="E889" s="11"/>
      <c r="F889" s="24"/>
      <c r="G889" s="24"/>
      <c r="H889" s="11"/>
    </row>
    <row r="890" spans="1:8" ht="12.75" hidden="1">
      <c r="A890" s="11"/>
      <c r="B890" s="11"/>
      <c r="C890" s="11"/>
      <c r="D890" s="24"/>
      <c r="E890" s="11"/>
      <c r="F890" s="24"/>
      <c r="G890" s="24"/>
      <c r="H890" s="11"/>
    </row>
    <row r="891" spans="1:8" ht="12.75" hidden="1">
      <c r="A891" s="11"/>
      <c r="B891" s="11"/>
      <c r="C891" s="11"/>
      <c r="D891" s="24"/>
      <c r="E891" s="11"/>
      <c r="F891" s="24"/>
      <c r="G891" s="24"/>
      <c r="H891" s="11"/>
    </row>
    <row r="892" spans="1:8" ht="12.75" hidden="1">
      <c r="A892" s="11"/>
      <c r="B892" s="11"/>
      <c r="C892" s="11"/>
      <c r="D892" s="24"/>
      <c r="E892" s="11"/>
      <c r="F892" s="24"/>
      <c r="G892" s="24"/>
      <c r="H892" s="11"/>
    </row>
    <row r="893" spans="1:8" ht="12.75" hidden="1">
      <c r="A893" s="11"/>
      <c r="B893" s="11"/>
      <c r="C893" s="11"/>
      <c r="D893" s="24"/>
      <c r="E893" s="11"/>
      <c r="F893" s="24"/>
      <c r="G893" s="24"/>
      <c r="H893" s="11"/>
    </row>
    <row r="894" spans="1:8" ht="12.75" hidden="1">
      <c r="A894" s="11"/>
      <c r="B894" s="11"/>
      <c r="C894" s="11"/>
      <c r="D894" s="24"/>
      <c r="E894" s="11"/>
      <c r="F894" s="24"/>
      <c r="G894" s="24"/>
      <c r="H894" s="11"/>
    </row>
    <row r="895" spans="1:8" ht="12.75" hidden="1">
      <c r="A895" s="11"/>
      <c r="B895" s="11"/>
      <c r="C895" s="11"/>
      <c r="D895" s="24"/>
      <c r="E895" s="11"/>
      <c r="F895" s="24"/>
      <c r="G895" s="24"/>
      <c r="H895" s="11"/>
    </row>
    <row r="896" spans="1:8" ht="12.75" hidden="1">
      <c r="A896" s="11"/>
      <c r="B896" s="11"/>
      <c r="C896" s="11"/>
      <c r="D896" s="24"/>
      <c r="E896" s="11"/>
      <c r="F896" s="24"/>
      <c r="G896" s="24"/>
      <c r="H896" s="11"/>
    </row>
    <row r="897" spans="1:8" ht="12.75" hidden="1">
      <c r="A897" s="11"/>
      <c r="B897" s="11"/>
      <c r="C897" s="11"/>
      <c r="D897" s="24"/>
      <c r="E897" s="11"/>
      <c r="F897" s="24"/>
      <c r="G897" s="24"/>
      <c r="H897" s="11"/>
    </row>
    <row r="898" spans="1:8" ht="12.75" hidden="1">
      <c r="A898" s="11"/>
      <c r="B898" s="11"/>
      <c r="C898" s="11"/>
      <c r="D898" s="24"/>
      <c r="E898" s="11"/>
      <c r="F898" s="24"/>
      <c r="G898" s="24"/>
      <c r="H898" s="11"/>
    </row>
    <row r="899" spans="1:8" ht="12.75" hidden="1">
      <c r="A899" s="11"/>
      <c r="B899" s="11"/>
      <c r="C899" s="11"/>
      <c r="D899" s="24"/>
      <c r="E899" s="11"/>
      <c r="F899" s="24"/>
      <c r="G899" s="24"/>
      <c r="H899" s="11"/>
    </row>
    <row r="900" spans="1:8" ht="12.75" hidden="1">
      <c r="A900" s="11"/>
      <c r="B900" s="11"/>
      <c r="C900" s="11"/>
      <c r="D900" s="24"/>
      <c r="E900" s="11"/>
      <c r="F900" s="24"/>
      <c r="G900" s="24"/>
      <c r="H900" s="11"/>
    </row>
    <row r="901" spans="1:8" ht="12.75" hidden="1">
      <c r="A901" s="11"/>
      <c r="B901" s="11"/>
      <c r="C901" s="11"/>
      <c r="D901" s="24"/>
      <c r="E901" s="11"/>
      <c r="F901" s="24"/>
      <c r="G901" s="24"/>
      <c r="H901" s="11"/>
    </row>
    <row r="902" spans="1:8" ht="12.75" hidden="1">
      <c r="A902" s="11"/>
      <c r="B902" s="11"/>
      <c r="C902" s="11"/>
      <c r="D902" s="24"/>
      <c r="E902" s="11"/>
      <c r="F902" s="24"/>
      <c r="G902" s="24"/>
      <c r="H902" s="11"/>
    </row>
    <row r="903" spans="1:8" ht="12.75" hidden="1">
      <c r="A903" s="11"/>
      <c r="B903" s="11"/>
      <c r="C903" s="11"/>
      <c r="D903" s="24"/>
      <c r="E903" s="11"/>
      <c r="F903" s="24"/>
      <c r="G903" s="24"/>
      <c r="H903" s="11"/>
    </row>
    <row r="904" spans="1:8" ht="12.75" hidden="1">
      <c r="A904" s="11"/>
      <c r="B904" s="11"/>
      <c r="C904" s="11"/>
      <c r="D904" s="24"/>
      <c r="E904" s="11"/>
      <c r="F904" s="24"/>
      <c r="G904" s="24"/>
      <c r="H904" s="11"/>
    </row>
    <row r="905" spans="1:8" ht="12.75" hidden="1">
      <c r="A905" s="11"/>
      <c r="B905" s="11"/>
      <c r="C905" s="11"/>
      <c r="D905" s="24"/>
      <c r="E905" s="11"/>
      <c r="F905" s="24"/>
      <c r="G905" s="24"/>
      <c r="H905" s="11"/>
    </row>
    <row r="906" spans="1:8" ht="12.75" hidden="1">
      <c r="A906" s="11"/>
      <c r="B906" s="11"/>
      <c r="C906" s="11"/>
      <c r="D906" s="24"/>
      <c r="E906" s="11"/>
      <c r="F906" s="24"/>
      <c r="G906" s="24"/>
      <c r="H906" s="11"/>
    </row>
    <row r="907" spans="1:8" ht="12.75" hidden="1">
      <c r="A907" s="11"/>
      <c r="B907" s="11"/>
      <c r="C907" s="11"/>
      <c r="D907" s="24"/>
      <c r="E907" s="11"/>
      <c r="F907" s="24"/>
      <c r="G907" s="24"/>
      <c r="H907" s="11"/>
    </row>
    <row r="908" spans="1:8" ht="12.75" hidden="1">
      <c r="A908" s="11"/>
      <c r="B908" s="11"/>
      <c r="C908" s="11"/>
      <c r="D908" s="24"/>
      <c r="E908" s="11"/>
      <c r="F908" s="24"/>
      <c r="G908" s="24"/>
      <c r="H908" s="11"/>
    </row>
    <row r="909" spans="1:8" ht="12.75" hidden="1">
      <c r="A909" s="11"/>
      <c r="B909" s="11"/>
      <c r="C909" s="11"/>
      <c r="D909" s="24"/>
      <c r="E909" s="11"/>
      <c r="F909" s="24"/>
      <c r="G909" s="24"/>
      <c r="H909" s="11"/>
    </row>
    <row r="910" spans="1:8" ht="12.75" hidden="1">
      <c r="A910" s="11"/>
      <c r="B910" s="11"/>
      <c r="C910" s="11"/>
      <c r="D910" s="24"/>
      <c r="E910" s="11"/>
      <c r="F910" s="24"/>
      <c r="G910" s="24"/>
      <c r="H910" s="11"/>
    </row>
    <row r="911" spans="1:8" ht="12.75" hidden="1">
      <c r="A911" s="11"/>
      <c r="B911" s="11"/>
      <c r="C911" s="11"/>
      <c r="D911" s="24"/>
      <c r="E911" s="11"/>
      <c r="F911" s="24"/>
      <c r="G911" s="24"/>
      <c r="H911" s="11"/>
    </row>
    <row r="912" spans="1:8" ht="12.75" hidden="1">
      <c r="A912" s="11"/>
      <c r="B912" s="11"/>
      <c r="C912" s="11"/>
      <c r="D912" s="24"/>
      <c r="E912" s="11"/>
      <c r="F912" s="24"/>
      <c r="G912" s="24"/>
      <c r="H912" s="11"/>
    </row>
    <row r="913" spans="1:8" ht="12.75" hidden="1">
      <c r="A913" s="11"/>
      <c r="B913" s="11"/>
      <c r="C913" s="11"/>
      <c r="D913" s="24"/>
      <c r="E913" s="11"/>
      <c r="F913" s="24"/>
      <c r="G913" s="24"/>
      <c r="H913" s="11"/>
    </row>
    <row r="914" spans="1:8" ht="12.75" hidden="1">
      <c r="A914" s="11"/>
      <c r="B914" s="11"/>
      <c r="C914" s="11"/>
      <c r="D914" s="24"/>
      <c r="E914" s="11"/>
      <c r="F914" s="24"/>
      <c r="G914" s="24"/>
      <c r="H914" s="11"/>
    </row>
    <row r="915" spans="1:8" ht="12.75" hidden="1">
      <c r="A915" s="11"/>
      <c r="B915" s="11"/>
      <c r="C915" s="11"/>
      <c r="D915" s="24"/>
      <c r="E915" s="11"/>
      <c r="F915" s="24"/>
      <c r="G915" s="24"/>
      <c r="H915" s="11"/>
    </row>
    <row r="916" spans="1:8" ht="12.75" hidden="1">
      <c r="A916" s="11"/>
      <c r="B916" s="11"/>
      <c r="C916" s="11"/>
      <c r="D916" s="24"/>
      <c r="E916" s="11"/>
      <c r="F916" s="24"/>
      <c r="G916" s="24"/>
      <c r="H916" s="11"/>
    </row>
    <row r="917" spans="1:8" ht="12.75" hidden="1">
      <c r="A917" s="11"/>
      <c r="B917" s="11"/>
      <c r="C917" s="11"/>
      <c r="D917" s="24"/>
      <c r="E917" s="11"/>
      <c r="F917" s="24"/>
      <c r="G917" s="24"/>
      <c r="H917" s="11"/>
    </row>
    <row r="918" spans="1:8" ht="12.75" hidden="1">
      <c r="A918" s="11"/>
      <c r="B918" s="11"/>
      <c r="C918" s="11"/>
      <c r="D918" s="24"/>
      <c r="E918" s="11"/>
      <c r="F918" s="24"/>
      <c r="G918" s="24"/>
      <c r="H918" s="11"/>
    </row>
    <row r="919" spans="1:8" ht="12.75" hidden="1">
      <c r="A919" s="11"/>
      <c r="B919" s="11"/>
      <c r="C919" s="11"/>
      <c r="D919" s="24"/>
      <c r="E919" s="11"/>
      <c r="F919" s="24"/>
      <c r="G919" s="24"/>
      <c r="H919" s="11"/>
    </row>
    <row r="920" spans="1:8" ht="12.75" hidden="1">
      <c r="A920" s="11"/>
      <c r="B920" s="11"/>
      <c r="C920" s="11"/>
      <c r="D920" s="24"/>
      <c r="E920" s="11"/>
      <c r="F920" s="24"/>
      <c r="G920" s="24"/>
      <c r="H920" s="11"/>
    </row>
    <row r="921" spans="1:8" ht="12.75" hidden="1">
      <c r="A921" s="11"/>
      <c r="B921" s="11"/>
      <c r="C921" s="11"/>
      <c r="D921" s="24"/>
      <c r="E921" s="11"/>
      <c r="F921" s="24"/>
      <c r="G921" s="24"/>
      <c r="H921" s="11"/>
    </row>
    <row r="922" spans="1:8" ht="12.75" hidden="1">
      <c r="A922" s="11"/>
      <c r="B922" s="11"/>
      <c r="C922" s="11"/>
      <c r="D922" s="24"/>
      <c r="E922" s="11"/>
      <c r="F922" s="24"/>
      <c r="G922" s="24"/>
      <c r="H922" s="11"/>
    </row>
    <row r="923" spans="1:8" ht="12.75" hidden="1">
      <c r="A923" s="11"/>
      <c r="B923" s="11"/>
      <c r="C923" s="11"/>
      <c r="D923" s="24"/>
      <c r="E923" s="11"/>
      <c r="F923" s="24"/>
      <c r="G923" s="24"/>
      <c r="H923" s="11"/>
    </row>
    <row r="924" spans="1:8" ht="12.75" hidden="1">
      <c r="A924" s="11"/>
      <c r="B924" s="11"/>
      <c r="C924" s="11"/>
      <c r="D924" s="24"/>
      <c r="E924" s="11"/>
      <c r="F924" s="24"/>
      <c r="G924" s="24"/>
      <c r="H924" s="11"/>
    </row>
    <row r="925" spans="1:8" ht="12.75" hidden="1">
      <c r="A925" s="11"/>
      <c r="B925" s="11"/>
      <c r="C925" s="11"/>
      <c r="D925" s="24"/>
      <c r="E925" s="11"/>
      <c r="F925" s="24"/>
      <c r="G925" s="24"/>
      <c r="H925" s="11"/>
    </row>
    <row r="926" spans="1:8" ht="12.75" hidden="1">
      <c r="A926" s="11"/>
      <c r="B926" s="11"/>
      <c r="C926" s="11"/>
      <c r="D926" s="24"/>
      <c r="E926" s="11"/>
      <c r="F926" s="24"/>
      <c r="G926" s="24"/>
      <c r="H926" s="11"/>
    </row>
    <row r="927" spans="1:8" ht="12.75" hidden="1">
      <c r="A927" s="11"/>
      <c r="B927" s="11"/>
      <c r="C927" s="11"/>
      <c r="D927" s="24"/>
      <c r="E927" s="11"/>
      <c r="F927" s="24"/>
      <c r="G927" s="24"/>
      <c r="H927" s="11"/>
    </row>
    <row r="928" spans="1:8" ht="12.75" hidden="1">
      <c r="A928" s="11"/>
      <c r="B928" s="11"/>
      <c r="C928" s="11"/>
      <c r="D928" s="24"/>
      <c r="E928" s="11"/>
      <c r="F928" s="24"/>
      <c r="G928" s="24"/>
      <c r="H928" s="11"/>
    </row>
    <row r="929" spans="1:8" ht="12.75" hidden="1">
      <c r="A929" s="11"/>
      <c r="B929" s="11"/>
      <c r="C929" s="11"/>
      <c r="D929" s="24"/>
      <c r="E929" s="11"/>
      <c r="F929" s="24"/>
      <c r="G929" s="24"/>
      <c r="H929" s="11"/>
    </row>
    <row r="930" spans="1:8" ht="12.75" hidden="1">
      <c r="A930" s="11"/>
      <c r="B930" s="11"/>
      <c r="C930" s="11"/>
      <c r="D930" s="24"/>
      <c r="E930" s="11"/>
      <c r="F930" s="24"/>
      <c r="G930" s="24"/>
      <c r="H930" s="11"/>
    </row>
    <row r="931" spans="1:8" ht="12.75" hidden="1">
      <c r="A931" s="11"/>
      <c r="B931" s="11"/>
      <c r="C931" s="11"/>
      <c r="D931" s="24"/>
      <c r="E931" s="11"/>
      <c r="F931" s="24"/>
      <c r="G931" s="24"/>
      <c r="H931" s="11"/>
    </row>
    <row r="932" spans="1:8" ht="12.75" hidden="1">
      <c r="A932" s="11"/>
      <c r="B932" s="11"/>
      <c r="C932" s="11"/>
      <c r="D932" s="24"/>
      <c r="E932" s="11"/>
      <c r="F932" s="24"/>
      <c r="G932" s="24"/>
      <c r="H932" s="11"/>
    </row>
    <row r="933" spans="1:8" ht="12.75" hidden="1">
      <c r="A933" s="11"/>
      <c r="B933" s="11"/>
      <c r="C933" s="11"/>
      <c r="D933" s="24"/>
      <c r="E933" s="11"/>
      <c r="F933" s="24"/>
      <c r="G933" s="24"/>
      <c r="H933" s="11"/>
    </row>
    <row r="934" spans="1:8" ht="12.75" hidden="1">
      <c r="A934" s="11"/>
      <c r="B934" s="11"/>
      <c r="C934" s="11"/>
      <c r="D934" s="24"/>
      <c r="E934" s="11"/>
      <c r="F934" s="24"/>
      <c r="G934" s="24"/>
      <c r="H934" s="11"/>
    </row>
    <row r="935" spans="1:8" ht="12.75" hidden="1">
      <c r="A935" s="11"/>
      <c r="B935" s="11"/>
      <c r="C935" s="11"/>
      <c r="D935" s="24"/>
      <c r="E935" s="11"/>
      <c r="F935" s="24"/>
      <c r="G935" s="24"/>
      <c r="H935" s="11"/>
    </row>
    <row r="936" spans="1:8" ht="12.75" hidden="1">
      <c r="A936" s="11"/>
      <c r="B936" s="11"/>
      <c r="C936" s="11"/>
      <c r="D936" s="24"/>
      <c r="E936" s="11"/>
      <c r="F936" s="24"/>
      <c r="G936" s="24"/>
      <c r="H936" s="11"/>
    </row>
    <row r="937" spans="1:8" ht="12.75" hidden="1">
      <c r="A937" s="11"/>
      <c r="B937" s="11"/>
      <c r="C937" s="11"/>
      <c r="D937" s="24"/>
      <c r="E937" s="11"/>
      <c r="F937" s="24"/>
      <c r="G937" s="24"/>
      <c r="H937" s="11"/>
    </row>
    <row r="938" spans="1:8" ht="12.75" hidden="1">
      <c r="A938" s="11"/>
      <c r="B938" s="11"/>
      <c r="C938" s="11"/>
      <c r="D938" s="24"/>
      <c r="E938" s="11"/>
      <c r="F938" s="24"/>
      <c r="G938" s="24"/>
      <c r="H938" s="11"/>
    </row>
    <row r="939" spans="1:8" ht="12.75" hidden="1">
      <c r="A939" s="11"/>
      <c r="B939" s="11"/>
      <c r="C939" s="11"/>
      <c r="D939" s="24"/>
      <c r="E939" s="11"/>
      <c r="F939" s="24"/>
      <c r="G939" s="24"/>
      <c r="H939" s="11"/>
    </row>
    <row r="940" spans="1:8" ht="12.75" hidden="1">
      <c r="A940" s="11"/>
      <c r="B940" s="11"/>
      <c r="C940" s="11"/>
      <c r="D940" s="24"/>
      <c r="E940" s="11"/>
      <c r="F940" s="24"/>
      <c r="G940" s="24"/>
      <c r="H940" s="11"/>
    </row>
    <row r="941" spans="1:8" ht="12.75" hidden="1">
      <c r="A941" s="11"/>
      <c r="B941" s="11"/>
      <c r="C941" s="11"/>
      <c r="D941" s="24"/>
      <c r="E941" s="11"/>
      <c r="F941" s="24"/>
      <c r="G941" s="24"/>
      <c r="H941" s="11"/>
    </row>
    <row r="942" spans="1:8" ht="12.75" hidden="1">
      <c r="A942" s="11"/>
      <c r="B942" s="11"/>
      <c r="C942" s="11"/>
      <c r="D942" s="24"/>
      <c r="E942" s="11"/>
      <c r="F942" s="24"/>
      <c r="G942" s="24"/>
      <c r="H942" s="11"/>
    </row>
    <row r="943" spans="1:8" ht="12.75" hidden="1">
      <c r="A943" s="11"/>
      <c r="B943" s="11"/>
      <c r="C943" s="11"/>
      <c r="D943" s="24"/>
      <c r="E943" s="11"/>
      <c r="F943" s="24"/>
      <c r="G943" s="24"/>
      <c r="H943" s="11"/>
    </row>
    <row r="944" spans="1:8" ht="12.75" hidden="1">
      <c r="A944" s="11"/>
      <c r="B944" s="11"/>
      <c r="C944" s="11"/>
      <c r="D944" s="24"/>
      <c r="E944" s="11"/>
      <c r="F944" s="24"/>
      <c r="G944" s="24"/>
      <c r="H944" s="11"/>
    </row>
    <row r="945" spans="1:8" ht="12.75" hidden="1">
      <c r="A945" s="11"/>
      <c r="B945" s="11"/>
      <c r="C945" s="11"/>
      <c r="D945" s="24"/>
      <c r="E945" s="11"/>
      <c r="F945" s="24"/>
      <c r="G945" s="24"/>
      <c r="H945" s="11"/>
    </row>
    <row r="946" spans="1:8" ht="12.75" hidden="1">
      <c r="A946" s="11"/>
      <c r="B946" s="11"/>
      <c r="C946" s="11"/>
      <c r="D946" s="24"/>
      <c r="E946" s="11"/>
      <c r="F946" s="24"/>
      <c r="G946" s="24"/>
      <c r="H946" s="11"/>
    </row>
    <row r="947" spans="1:8" ht="12.75" hidden="1">
      <c r="A947" s="11"/>
      <c r="B947" s="11"/>
      <c r="C947" s="11"/>
      <c r="D947" s="24"/>
      <c r="E947" s="11"/>
      <c r="F947" s="24"/>
      <c r="G947" s="24"/>
      <c r="H947" s="11"/>
    </row>
    <row r="948" spans="1:8" ht="12.75" hidden="1">
      <c r="A948" s="11"/>
      <c r="B948" s="11"/>
      <c r="C948" s="11"/>
      <c r="D948" s="24"/>
      <c r="E948" s="11"/>
      <c r="F948" s="24"/>
      <c r="G948" s="24"/>
      <c r="H948" s="11"/>
    </row>
    <row r="949" spans="1:8" ht="12.75" hidden="1">
      <c r="A949" s="11"/>
      <c r="B949" s="11"/>
      <c r="C949" s="11"/>
      <c r="D949" s="24"/>
      <c r="E949" s="11"/>
      <c r="F949" s="24"/>
      <c r="G949" s="24"/>
      <c r="H949" s="11"/>
    </row>
    <row r="950" spans="1:8" ht="12.75" hidden="1">
      <c r="A950" s="11"/>
      <c r="B950" s="11"/>
      <c r="C950" s="11"/>
      <c r="D950" s="24"/>
      <c r="E950" s="11"/>
      <c r="F950" s="24"/>
      <c r="G950" s="24"/>
      <c r="H950" s="11"/>
    </row>
    <row r="951" spans="1:8" ht="12.75" hidden="1">
      <c r="A951" s="11"/>
      <c r="B951" s="11"/>
      <c r="C951" s="11"/>
      <c r="D951" s="24"/>
      <c r="E951" s="11"/>
      <c r="F951" s="24"/>
      <c r="G951" s="24"/>
      <c r="H951" s="11"/>
    </row>
    <row r="952" spans="1:8" ht="12.75" hidden="1">
      <c r="A952" s="11"/>
      <c r="B952" s="11"/>
      <c r="C952" s="11"/>
      <c r="D952" s="24"/>
      <c r="E952" s="11"/>
      <c r="F952" s="24"/>
      <c r="G952" s="24"/>
      <c r="H952" s="11"/>
    </row>
    <row r="953" spans="1:8" ht="12.75" hidden="1">
      <c r="A953" s="11"/>
      <c r="B953" s="11"/>
      <c r="C953" s="11"/>
      <c r="D953" s="24"/>
      <c r="E953" s="11"/>
      <c r="F953" s="24"/>
      <c r="G953" s="24"/>
      <c r="H953" s="11"/>
    </row>
    <row r="954" spans="1:8" ht="12.75" hidden="1">
      <c r="A954" s="11"/>
      <c r="B954" s="11"/>
      <c r="C954" s="11"/>
      <c r="D954" s="24"/>
      <c r="E954" s="11"/>
      <c r="F954" s="24"/>
      <c r="G954" s="24"/>
      <c r="H954" s="11"/>
    </row>
    <row r="955" spans="1:8" ht="12.75" hidden="1">
      <c r="A955" s="11"/>
      <c r="B955" s="11"/>
      <c r="C955" s="11"/>
      <c r="D955" s="24"/>
      <c r="E955" s="11"/>
      <c r="F955" s="24"/>
      <c r="G955" s="24"/>
      <c r="H955" s="11"/>
    </row>
    <row r="956" spans="1:8" ht="12.75" hidden="1">
      <c r="A956" s="11"/>
      <c r="B956" s="11"/>
      <c r="C956" s="11"/>
      <c r="D956" s="24"/>
      <c r="E956" s="11"/>
      <c r="F956" s="24"/>
      <c r="G956" s="24"/>
      <c r="H956" s="11"/>
    </row>
    <row r="957" spans="1:8" ht="12.75" hidden="1">
      <c r="A957" s="11"/>
      <c r="B957" s="11"/>
      <c r="C957" s="11"/>
      <c r="D957" s="24"/>
      <c r="E957" s="11"/>
      <c r="F957" s="24"/>
      <c r="G957" s="24"/>
      <c r="H957" s="11"/>
    </row>
    <row r="958" spans="1:8" ht="12.75" hidden="1">
      <c r="A958" s="11"/>
      <c r="B958" s="11"/>
      <c r="C958" s="11"/>
      <c r="D958" s="24"/>
      <c r="E958" s="11"/>
      <c r="F958" s="24"/>
      <c r="G958" s="24"/>
      <c r="H958" s="11"/>
    </row>
    <row r="959" spans="1:8" ht="12.75" hidden="1">
      <c r="A959" s="11"/>
      <c r="B959" s="11"/>
      <c r="C959" s="11"/>
      <c r="D959" s="24"/>
      <c r="E959" s="11"/>
      <c r="F959" s="24"/>
      <c r="G959" s="24"/>
      <c r="H959" s="11"/>
    </row>
    <row r="960" spans="1:8" ht="12.75" hidden="1">
      <c r="A960" s="11"/>
      <c r="B960" s="11"/>
      <c r="C960" s="11"/>
      <c r="D960" s="24"/>
      <c r="E960" s="11"/>
      <c r="F960" s="24"/>
      <c r="G960" s="24"/>
      <c r="H960" s="11"/>
    </row>
    <row r="961" spans="1:8" ht="12.75" hidden="1">
      <c r="A961" s="11"/>
      <c r="B961" s="11"/>
      <c r="C961" s="11"/>
      <c r="D961" s="24"/>
      <c r="E961" s="11"/>
      <c r="F961" s="24"/>
      <c r="G961" s="24"/>
      <c r="H961" s="11"/>
    </row>
    <row r="962" spans="1:8" ht="12.75" hidden="1">
      <c r="A962" s="11"/>
      <c r="B962" s="11"/>
      <c r="C962" s="11"/>
      <c r="D962" s="24"/>
      <c r="E962" s="11"/>
      <c r="F962" s="24"/>
      <c r="G962" s="24"/>
      <c r="H962" s="11"/>
    </row>
    <row r="963" spans="1:8" ht="12.75" hidden="1">
      <c r="A963" s="11"/>
      <c r="B963" s="11"/>
      <c r="C963" s="11"/>
      <c r="D963" s="24"/>
      <c r="E963" s="11"/>
      <c r="F963" s="24"/>
      <c r="G963" s="24"/>
      <c r="H963" s="11"/>
    </row>
    <row r="964" spans="1:8" ht="12.75" hidden="1">
      <c r="A964" s="11"/>
      <c r="B964" s="11"/>
      <c r="C964" s="11"/>
      <c r="D964" s="24"/>
      <c r="E964" s="11"/>
      <c r="F964" s="24"/>
      <c r="G964" s="24"/>
      <c r="H964" s="11"/>
    </row>
    <row r="965" spans="1:8" ht="12.75" hidden="1">
      <c r="A965" s="11"/>
      <c r="B965" s="11"/>
      <c r="C965" s="11"/>
      <c r="D965" s="24"/>
      <c r="E965" s="11"/>
      <c r="F965" s="24"/>
      <c r="G965" s="24"/>
      <c r="H965" s="11"/>
    </row>
    <row r="966" spans="1:8" ht="12.75" hidden="1">
      <c r="A966" s="11"/>
      <c r="B966" s="11"/>
      <c r="C966" s="11"/>
      <c r="D966" s="24"/>
      <c r="E966" s="11"/>
      <c r="F966" s="24"/>
      <c r="G966" s="24"/>
      <c r="H966" s="11"/>
    </row>
    <row r="967" spans="1:8" ht="12.75" hidden="1">
      <c r="A967" s="11"/>
      <c r="B967" s="11"/>
      <c r="C967" s="11"/>
      <c r="D967" s="24"/>
      <c r="E967" s="11"/>
      <c r="F967" s="24"/>
      <c r="G967" s="24"/>
      <c r="H967" s="11"/>
    </row>
    <row r="968" spans="1:8" ht="12.75" hidden="1">
      <c r="A968" s="11"/>
      <c r="B968" s="11"/>
      <c r="C968" s="11"/>
      <c r="D968" s="24"/>
      <c r="E968" s="11"/>
      <c r="F968" s="24"/>
      <c r="G968" s="24"/>
      <c r="H968" s="11"/>
    </row>
    <row r="969" spans="1:8" ht="12.75" hidden="1">
      <c r="A969" s="11"/>
      <c r="B969" s="11"/>
      <c r="C969" s="11"/>
      <c r="D969" s="24"/>
      <c r="E969" s="11"/>
      <c r="F969" s="24"/>
      <c r="G969" s="24"/>
      <c r="H969" s="11"/>
    </row>
    <row r="970" spans="1:8" ht="12.75" hidden="1">
      <c r="A970" s="11"/>
      <c r="B970" s="11"/>
      <c r="C970" s="11"/>
      <c r="D970" s="24"/>
      <c r="E970" s="11"/>
      <c r="F970" s="24"/>
      <c r="G970" s="24"/>
      <c r="H970" s="11"/>
    </row>
    <row r="971" spans="1:8" ht="12.75" hidden="1">
      <c r="A971" s="11"/>
      <c r="B971" s="11"/>
      <c r="C971" s="11"/>
      <c r="D971" s="24"/>
      <c r="E971" s="11"/>
      <c r="F971" s="24"/>
      <c r="G971" s="24"/>
      <c r="H971" s="11"/>
    </row>
    <row r="972" spans="1:8" ht="12.75" hidden="1">
      <c r="A972" s="11"/>
      <c r="B972" s="11"/>
      <c r="C972" s="11"/>
      <c r="D972" s="24"/>
      <c r="E972" s="11"/>
      <c r="F972" s="24"/>
      <c r="G972" s="24"/>
      <c r="H972" s="11"/>
    </row>
    <row r="973" spans="1:8" ht="12.75" hidden="1">
      <c r="A973" s="11"/>
      <c r="B973" s="11"/>
      <c r="C973" s="11"/>
      <c r="D973" s="24"/>
      <c r="E973" s="11"/>
      <c r="F973" s="24"/>
      <c r="G973" s="24"/>
      <c r="H973" s="11"/>
    </row>
    <row r="974" spans="1:8" ht="12.75" hidden="1">
      <c r="A974" s="11"/>
      <c r="B974" s="11"/>
      <c r="C974" s="11"/>
      <c r="D974" s="24"/>
      <c r="E974" s="11"/>
      <c r="F974" s="24"/>
      <c r="G974" s="24"/>
      <c r="H974" s="11"/>
    </row>
    <row r="975" spans="1:8" ht="12.75" hidden="1">
      <c r="A975" s="11"/>
      <c r="B975" s="11"/>
      <c r="C975" s="11"/>
      <c r="D975" s="24"/>
      <c r="E975" s="11"/>
      <c r="F975" s="24"/>
      <c r="G975" s="24"/>
      <c r="H975" s="11"/>
    </row>
    <row r="976" spans="1:8" ht="12.75" hidden="1">
      <c r="A976" s="11"/>
      <c r="B976" s="11"/>
      <c r="C976" s="11"/>
      <c r="D976" s="24"/>
      <c r="E976" s="11"/>
      <c r="F976" s="24"/>
      <c r="G976" s="24"/>
      <c r="H976" s="11"/>
    </row>
    <row r="977" spans="1:8" ht="12.75" hidden="1">
      <c r="A977" s="11"/>
      <c r="B977" s="11"/>
      <c r="C977" s="11"/>
      <c r="D977" s="24"/>
      <c r="E977" s="11"/>
      <c r="F977" s="24"/>
      <c r="G977" s="24"/>
      <c r="H977" s="11"/>
    </row>
    <row r="978" spans="1:8" ht="12.75" hidden="1">
      <c r="A978" s="11"/>
      <c r="B978" s="11"/>
      <c r="C978" s="11"/>
      <c r="D978" s="24"/>
      <c r="E978" s="11"/>
      <c r="F978" s="24"/>
      <c r="G978" s="24"/>
      <c r="H978" s="11"/>
    </row>
    <row r="979" spans="1:8" ht="12.75" hidden="1">
      <c r="A979" s="11"/>
      <c r="B979" s="11"/>
      <c r="C979" s="11"/>
      <c r="D979" s="24"/>
      <c r="E979" s="11"/>
      <c r="F979" s="24"/>
      <c r="G979" s="11"/>
      <c r="H979" s="11"/>
    </row>
    <row r="980" spans="1:8" ht="12.75" hidden="1">
      <c r="A980" s="11"/>
      <c r="B980" s="11"/>
      <c r="C980" s="11"/>
      <c r="D980" s="24"/>
      <c r="E980" s="11"/>
      <c r="F980" s="24"/>
      <c r="G980" s="11"/>
      <c r="H980" s="11"/>
    </row>
    <row r="981" spans="1:8" ht="12.75" hidden="1">
      <c r="A981" s="11"/>
      <c r="B981" s="11"/>
      <c r="C981" s="11"/>
      <c r="D981" s="24"/>
      <c r="E981" s="11"/>
      <c r="F981" s="24"/>
      <c r="G981" s="11"/>
      <c r="H981" s="11"/>
    </row>
    <row r="982" spans="1:8" ht="12.75" hidden="1">
      <c r="A982" s="11"/>
      <c r="B982" s="11"/>
      <c r="C982" s="11"/>
      <c r="D982" s="24"/>
      <c r="E982" s="11"/>
      <c r="F982" s="24"/>
      <c r="G982" s="11"/>
      <c r="H982" s="11"/>
    </row>
    <row r="983" spans="1:8" ht="12.75" hidden="1">
      <c r="A983" s="11"/>
      <c r="B983" s="11"/>
      <c r="C983" s="11"/>
      <c r="D983" s="24"/>
      <c r="E983" s="11"/>
      <c r="F983" s="24"/>
      <c r="G983" s="11"/>
      <c r="H983" s="11"/>
    </row>
    <row r="984" spans="1:8" ht="12.75" hidden="1">
      <c r="A984" s="11"/>
      <c r="B984" s="11"/>
      <c r="C984" s="11"/>
      <c r="D984" s="24"/>
      <c r="E984" s="11"/>
      <c r="F984" s="24"/>
      <c r="G984" s="11"/>
      <c r="H984" s="11"/>
    </row>
    <row r="985" spans="1:8" ht="12.75" hidden="1">
      <c r="A985" s="11"/>
      <c r="B985" s="11"/>
      <c r="C985" s="11"/>
      <c r="D985" s="24"/>
      <c r="E985" s="11"/>
      <c r="F985" s="24"/>
      <c r="G985" s="11"/>
      <c r="H985" s="11"/>
    </row>
    <row r="986" spans="1:8" ht="12.75" hidden="1">
      <c r="A986" s="11"/>
      <c r="B986" s="11"/>
      <c r="C986" s="11"/>
      <c r="D986" s="24"/>
      <c r="E986" s="11"/>
      <c r="F986" s="24"/>
      <c r="G986" s="11"/>
      <c r="H986" s="11"/>
    </row>
    <row r="987" spans="1:8" ht="12.75" hidden="1">
      <c r="A987" s="11"/>
      <c r="B987" s="11"/>
      <c r="C987" s="11"/>
      <c r="D987" s="24"/>
      <c r="E987" s="11"/>
      <c r="F987" s="24"/>
      <c r="G987" s="11"/>
      <c r="H987" s="11"/>
    </row>
    <row r="988" spans="1:8" ht="12.75" hidden="1">
      <c r="A988" s="11"/>
      <c r="B988" s="11"/>
      <c r="C988" s="11"/>
      <c r="D988" s="24"/>
      <c r="E988" s="11"/>
      <c r="F988" s="24"/>
      <c r="G988" s="11"/>
      <c r="H988" s="11"/>
    </row>
    <row r="989" spans="1:8" ht="12.75" hidden="1">
      <c r="A989" s="11"/>
      <c r="B989" s="11"/>
      <c r="C989" s="11"/>
      <c r="D989" s="24"/>
      <c r="E989" s="11"/>
      <c r="F989" s="24"/>
      <c r="G989" s="11"/>
      <c r="H989" s="11"/>
    </row>
    <row r="990" spans="1:8" ht="12.75" hidden="1">
      <c r="A990" s="11"/>
      <c r="B990" s="11"/>
      <c r="C990" s="11"/>
      <c r="D990" s="24"/>
      <c r="E990" s="11"/>
      <c r="F990" s="24"/>
      <c r="G990" s="11"/>
      <c r="H990" s="11"/>
    </row>
    <row r="991" spans="1:8" ht="12.75" hidden="1">
      <c r="A991" s="11"/>
      <c r="B991" s="11"/>
      <c r="C991" s="11"/>
      <c r="D991" s="24"/>
      <c r="E991" s="11"/>
      <c r="F991" s="24"/>
      <c r="G991" s="11"/>
      <c r="H991" s="11"/>
    </row>
    <row r="992" spans="1:8" ht="12.75" hidden="1">
      <c r="A992" s="11"/>
      <c r="B992" s="11"/>
      <c r="C992" s="11"/>
      <c r="D992" s="24"/>
      <c r="E992" s="11"/>
      <c r="F992" s="24"/>
      <c r="G992" s="11"/>
      <c r="H992" s="11"/>
    </row>
    <row r="993" spans="1:8" ht="12.75" hidden="1">
      <c r="A993" s="11"/>
      <c r="B993" s="11"/>
      <c r="C993" s="11"/>
      <c r="D993" s="24"/>
      <c r="E993" s="11"/>
      <c r="F993" s="24"/>
      <c r="G993" s="11"/>
      <c r="H993" s="11"/>
    </row>
    <row r="994" spans="1:8" ht="12.75" hidden="1">
      <c r="A994" s="11"/>
      <c r="B994" s="11"/>
      <c r="C994" s="11"/>
      <c r="D994" s="24"/>
      <c r="E994" s="11"/>
      <c r="F994" s="24"/>
      <c r="G994" s="11"/>
      <c r="H994" s="11"/>
    </row>
    <row r="995" spans="1:8" ht="12.75" hidden="1">
      <c r="A995" s="11"/>
      <c r="B995" s="11"/>
      <c r="C995" s="11"/>
      <c r="D995" s="24"/>
      <c r="E995" s="11"/>
      <c r="F995" s="24"/>
      <c r="G995" s="11"/>
      <c r="H995" s="11"/>
    </row>
    <row r="996" spans="1:8" ht="12.75" hidden="1">
      <c r="A996" s="11"/>
      <c r="B996" s="11"/>
      <c r="C996" s="11"/>
      <c r="D996" s="24"/>
      <c r="E996" s="11"/>
      <c r="F996" s="24"/>
      <c r="G996" s="11"/>
      <c r="H996" s="11"/>
    </row>
    <row r="997" spans="1:8" ht="12.75" hidden="1">
      <c r="A997" s="11"/>
      <c r="B997" s="11"/>
      <c r="C997" s="11"/>
      <c r="D997" s="24"/>
      <c r="E997" s="11"/>
      <c r="F997" s="24"/>
      <c r="G997" s="11"/>
      <c r="H997" s="11"/>
    </row>
    <row r="998" spans="1:8" ht="12.75" hidden="1">
      <c r="A998" s="11"/>
      <c r="B998" s="11"/>
      <c r="C998" s="11"/>
      <c r="D998" s="24"/>
      <c r="E998" s="11"/>
      <c r="F998" s="24"/>
      <c r="G998" s="11"/>
      <c r="H998" s="11"/>
    </row>
    <row r="999" spans="1:8" ht="12.75" hidden="1">
      <c r="A999" s="11"/>
      <c r="B999" s="11"/>
      <c r="C999" s="11"/>
      <c r="D999" s="24"/>
      <c r="E999" s="11"/>
      <c r="F999" s="24"/>
      <c r="G999" s="11"/>
      <c r="H999" s="11"/>
    </row>
    <row r="1000" spans="1:8" ht="12.75" hidden="1">
      <c r="A1000" s="11"/>
      <c r="B1000" s="11"/>
      <c r="C1000" s="11"/>
      <c r="D1000" s="24"/>
      <c r="E1000" s="11"/>
      <c r="F1000" s="24"/>
      <c r="G1000" s="11"/>
      <c r="H1000" s="11"/>
    </row>
    <row r="1001" spans="1:8" ht="12.75" hidden="1">
      <c r="A1001" s="11"/>
      <c r="B1001" s="11"/>
      <c r="C1001" s="11"/>
      <c r="D1001" s="24"/>
      <c r="E1001" s="11"/>
      <c r="F1001" s="24"/>
      <c r="G1001" s="11"/>
      <c r="H1001" s="11"/>
    </row>
    <row r="1002" spans="1:8" ht="12.75" hidden="1">
      <c r="A1002" s="11"/>
      <c r="B1002" s="11"/>
      <c r="C1002" s="11"/>
      <c r="D1002" s="24"/>
      <c r="E1002" s="11"/>
      <c r="F1002" s="24"/>
      <c r="G1002" s="11"/>
      <c r="H1002" s="11"/>
    </row>
    <row r="1003" spans="1:8" ht="12.75" hidden="1">
      <c r="A1003" s="11"/>
      <c r="B1003" s="11"/>
      <c r="C1003" s="11"/>
      <c r="D1003" s="24"/>
      <c r="E1003" s="11"/>
      <c r="F1003" s="24"/>
      <c r="G1003" s="11"/>
      <c r="H1003" s="11"/>
    </row>
    <row r="1004" spans="1:8" ht="12.75" hidden="1">
      <c r="A1004" s="11"/>
      <c r="B1004" s="11"/>
      <c r="C1004" s="11"/>
      <c r="D1004" s="24"/>
      <c r="E1004" s="11"/>
      <c r="F1004" s="24"/>
      <c r="G1004" s="11"/>
      <c r="H1004" s="11"/>
    </row>
    <row r="1005" spans="1:8" ht="12.75" hidden="1">
      <c r="A1005" s="11"/>
      <c r="B1005" s="11"/>
      <c r="C1005" s="11"/>
      <c r="D1005" s="24"/>
      <c r="E1005" s="11"/>
      <c r="F1005" s="24"/>
      <c r="G1005" s="11"/>
      <c r="H1005" s="11"/>
    </row>
    <row r="1006" spans="1:8" ht="12.75" hidden="1">
      <c r="A1006" s="11"/>
      <c r="B1006" s="11"/>
      <c r="C1006" s="11"/>
      <c r="D1006" s="24"/>
      <c r="E1006" s="11"/>
      <c r="F1006" s="24"/>
      <c r="G1006" s="11"/>
      <c r="H1006" s="11"/>
    </row>
    <row r="1007" spans="1:8" ht="12.75" hidden="1">
      <c r="A1007" s="11"/>
      <c r="B1007" s="11"/>
      <c r="C1007" s="11"/>
      <c r="D1007" s="24"/>
      <c r="E1007" s="11"/>
      <c r="F1007" s="24"/>
      <c r="G1007" s="11"/>
      <c r="H1007" s="11"/>
    </row>
    <row r="1008" spans="1:8" ht="12.75" hidden="1">
      <c r="A1008" s="11"/>
      <c r="B1008" s="11"/>
      <c r="C1008" s="11"/>
      <c r="D1008" s="24"/>
      <c r="E1008" s="11"/>
      <c r="F1008" s="24"/>
      <c r="G1008" s="11"/>
      <c r="H1008" s="11"/>
    </row>
    <row r="1009" spans="1:8" ht="12.75" hidden="1">
      <c r="A1009" s="11"/>
      <c r="B1009" s="11"/>
      <c r="C1009" s="11"/>
      <c r="D1009" s="24"/>
      <c r="E1009" s="11"/>
      <c r="F1009" s="24"/>
      <c r="G1009" s="11"/>
      <c r="H1009" s="11"/>
    </row>
    <row r="1010" spans="1:8" ht="12.75" hidden="1">
      <c r="A1010" s="11"/>
      <c r="B1010" s="11"/>
      <c r="C1010" s="11"/>
      <c r="D1010" s="24"/>
      <c r="E1010" s="11"/>
      <c r="F1010" s="24"/>
      <c r="G1010" s="11"/>
      <c r="H1010" s="11"/>
    </row>
    <row r="1011" spans="1:8" ht="12.75" hidden="1">
      <c r="A1011" s="11"/>
      <c r="B1011" s="11"/>
      <c r="C1011" s="11"/>
      <c r="D1011" s="24"/>
      <c r="E1011" s="11"/>
      <c r="F1011" s="24"/>
      <c r="G1011" s="11"/>
      <c r="H1011" s="11"/>
    </row>
    <row r="1012" spans="1:8" ht="12.75" hidden="1">
      <c r="A1012" s="11"/>
      <c r="B1012" s="11"/>
      <c r="C1012" s="11"/>
      <c r="D1012" s="24"/>
      <c r="E1012" s="11"/>
      <c r="F1012" s="24"/>
      <c r="G1012" s="11"/>
      <c r="H1012" s="11"/>
    </row>
    <row r="1013" spans="1:8" ht="12.75" hidden="1">
      <c r="A1013" s="11"/>
      <c r="B1013" s="11"/>
      <c r="C1013" s="11"/>
      <c r="D1013" s="24"/>
      <c r="E1013" s="11"/>
      <c r="F1013" s="24"/>
      <c r="G1013" s="11"/>
      <c r="H1013" s="11"/>
    </row>
    <row r="1014" spans="1:8" ht="12.75" hidden="1">
      <c r="A1014" s="11"/>
      <c r="B1014" s="11"/>
      <c r="C1014" s="11"/>
      <c r="D1014" s="24"/>
      <c r="E1014" s="11"/>
      <c r="F1014" s="24"/>
      <c r="G1014" s="11"/>
      <c r="H1014" s="11"/>
    </row>
    <row r="1015" spans="1:8" ht="12.75" hidden="1">
      <c r="A1015" s="11"/>
      <c r="B1015" s="11"/>
      <c r="C1015" s="11"/>
      <c r="D1015" s="24"/>
      <c r="E1015" s="11"/>
      <c r="F1015" s="24"/>
      <c r="G1015" s="11"/>
      <c r="H1015" s="11"/>
    </row>
    <row r="1016" spans="1:8" ht="12.75" hidden="1">
      <c r="A1016" s="11"/>
      <c r="B1016" s="11"/>
      <c r="C1016" s="11"/>
      <c r="D1016" s="24"/>
      <c r="E1016" s="11"/>
      <c r="F1016" s="24"/>
      <c r="G1016" s="11"/>
      <c r="H1016" s="11"/>
    </row>
    <row r="1017" spans="1:8" ht="12.75" hidden="1">
      <c r="A1017" s="11"/>
      <c r="B1017" s="11"/>
      <c r="C1017" s="11"/>
      <c r="D1017" s="24"/>
      <c r="E1017" s="11"/>
      <c r="F1017" s="24"/>
      <c r="G1017" s="11"/>
      <c r="H1017" s="11"/>
    </row>
    <row r="1018" spans="1:8" ht="12.75" hidden="1">
      <c r="A1018" s="11"/>
      <c r="B1018" s="11"/>
      <c r="C1018" s="11"/>
      <c r="D1018" s="24"/>
      <c r="E1018" s="11"/>
      <c r="F1018" s="24"/>
      <c r="G1018" s="11"/>
      <c r="H1018" s="11"/>
    </row>
    <row r="1019" spans="1:8" ht="12.75" hidden="1">
      <c r="A1019" s="11"/>
      <c r="B1019" s="11"/>
      <c r="C1019" s="11"/>
      <c r="D1019" s="24"/>
      <c r="E1019" s="11"/>
      <c r="F1019" s="24"/>
      <c r="G1019" s="11"/>
      <c r="H1019" s="11"/>
    </row>
    <row r="1020" spans="1:8" ht="12.75" hidden="1">
      <c r="A1020" s="11"/>
      <c r="B1020" s="11"/>
      <c r="C1020" s="11"/>
      <c r="D1020" s="24"/>
      <c r="E1020" s="11"/>
      <c r="F1020" s="24"/>
      <c r="G1020" s="11"/>
      <c r="H1020" s="11"/>
    </row>
    <row r="1021" spans="1:8" ht="12.75" hidden="1">
      <c r="A1021" s="11"/>
      <c r="B1021" s="11"/>
      <c r="C1021" s="11"/>
      <c r="D1021" s="24"/>
      <c r="E1021" s="11"/>
      <c r="F1021" s="24"/>
      <c r="G1021" s="11"/>
      <c r="H1021" s="11"/>
    </row>
    <row r="1022" spans="1:8" ht="12.75" hidden="1">
      <c r="A1022" s="11"/>
      <c r="B1022" s="11"/>
      <c r="C1022" s="11"/>
      <c r="D1022" s="24"/>
      <c r="E1022" s="11"/>
      <c r="F1022" s="24"/>
      <c r="G1022" s="11"/>
      <c r="H1022" s="11"/>
    </row>
    <row r="1023" spans="1:8" ht="12.75" hidden="1">
      <c r="A1023" s="11"/>
      <c r="B1023" s="11"/>
      <c r="C1023" s="11"/>
      <c r="D1023" s="24"/>
      <c r="E1023" s="11"/>
      <c r="F1023" s="24"/>
      <c r="G1023" s="11"/>
      <c r="H1023" s="11"/>
    </row>
    <row r="1024" spans="1:8" ht="12.75" hidden="1">
      <c r="A1024" s="11"/>
      <c r="B1024" s="11"/>
      <c r="C1024" s="11"/>
      <c r="D1024" s="24"/>
      <c r="E1024" s="11"/>
      <c r="F1024" s="24"/>
      <c r="G1024" s="11"/>
      <c r="H1024" s="11"/>
    </row>
    <row r="1025" spans="1:8" ht="12.75" hidden="1">
      <c r="A1025" s="11"/>
      <c r="B1025" s="11"/>
      <c r="C1025" s="11"/>
      <c r="D1025" s="24"/>
      <c r="E1025" s="11"/>
      <c r="F1025" s="24"/>
      <c r="G1025" s="11"/>
      <c r="H1025" s="11"/>
    </row>
    <row r="1026" spans="1:8" ht="12.75" hidden="1">
      <c r="A1026" s="11"/>
      <c r="B1026" s="11"/>
      <c r="C1026" s="11"/>
      <c r="D1026" s="24"/>
      <c r="E1026" s="11"/>
      <c r="F1026" s="24"/>
      <c r="G1026" s="11"/>
      <c r="H1026" s="11"/>
    </row>
    <row r="1027" spans="1:8" ht="12.75" hidden="1">
      <c r="A1027" s="11"/>
      <c r="B1027" s="11"/>
      <c r="C1027" s="11"/>
      <c r="D1027" s="24"/>
      <c r="E1027" s="11"/>
      <c r="F1027" s="24"/>
      <c r="G1027" s="11"/>
      <c r="H1027" s="11"/>
    </row>
    <row r="1028" spans="1:8" ht="12.75" hidden="1">
      <c r="A1028" s="11"/>
      <c r="B1028" s="11"/>
      <c r="C1028" s="11"/>
      <c r="D1028" s="24"/>
      <c r="E1028" s="11"/>
      <c r="F1028" s="24"/>
      <c r="G1028" s="11"/>
      <c r="H1028" s="11"/>
    </row>
    <row r="1029" spans="1:8" ht="12.75" hidden="1">
      <c r="A1029" s="11"/>
      <c r="B1029" s="11"/>
      <c r="C1029" s="11"/>
      <c r="D1029" s="24"/>
      <c r="E1029" s="11"/>
      <c r="F1029" s="24"/>
      <c r="G1029" s="11"/>
      <c r="H1029" s="11"/>
    </row>
    <row r="1030" spans="1:8" ht="12.75" hidden="1">
      <c r="A1030" s="11"/>
      <c r="B1030" s="11"/>
      <c r="C1030" s="11"/>
      <c r="D1030" s="24"/>
      <c r="E1030" s="11"/>
      <c r="F1030" s="24"/>
      <c r="G1030" s="11"/>
      <c r="H1030" s="11"/>
    </row>
    <row r="1031" spans="1:8" ht="12.75" hidden="1">
      <c r="A1031" s="11"/>
      <c r="B1031" s="11"/>
      <c r="C1031" s="11"/>
      <c r="D1031" s="24"/>
      <c r="E1031" s="11"/>
      <c r="F1031" s="24"/>
      <c r="G1031" s="11"/>
      <c r="H1031" s="11"/>
    </row>
    <row r="1032" spans="1:8" ht="12.75" hidden="1">
      <c r="A1032" s="11"/>
      <c r="B1032" s="11"/>
      <c r="C1032" s="11"/>
      <c r="D1032" s="24"/>
      <c r="E1032" s="11"/>
      <c r="F1032" s="24"/>
      <c r="G1032" s="11"/>
      <c r="H1032" s="11"/>
    </row>
    <row r="1033" spans="1:8" ht="12.75" hidden="1">
      <c r="A1033" s="11"/>
      <c r="B1033" s="11"/>
      <c r="C1033" s="11"/>
      <c r="D1033" s="24"/>
      <c r="E1033" s="11"/>
      <c r="F1033" s="24"/>
      <c r="G1033" s="11"/>
      <c r="H1033" s="11"/>
    </row>
    <row r="1034" spans="1:8" ht="12.75" hidden="1">
      <c r="A1034" s="11"/>
      <c r="B1034" s="11"/>
      <c r="C1034" s="11"/>
      <c r="D1034" s="24"/>
      <c r="E1034" s="11"/>
      <c r="F1034" s="24"/>
      <c r="G1034" s="11"/>
      <c r="H1034" s="11"/>
    </row>
    <row r="1035" spans="1:8" ht="12.75" hidden="1">
      <c r="A1035" s="11"/>
      <c r="B1035" s="11"/>
      <c r="C1035" s="11"/>
      <c r="D1035" s="24"/>
      <c r="E1035" s="11"/>
      <c r="F1035" s="24"/>
      <c r="G1035" s="11"/>
      <c r="H1035" s="11"/>
    </row>
    <row r="1036" spans="1:8" ht="12.75" hidden="1">
      <c r="A1036" s="11"/>
      <c r="B1036" s="11"/>
      <c r="C1036" s="11"/>
      <c r="D1036" s="24"/>
      <c r="E1036" s="11"/>
      <c r="F1036" s="24"/>
      <c r="G1036" s="11"/>
      <c r="H1036" s="11"/>
    </row>
    <row r="1037" spans="1:8" ht="12.75" hidden="1">
      <c r="A1037" s="11"/>
      <c r="B1037" s="11"/>
      <c r="C1037" s="11"/>
      <c r="D1037" s="24"/>
      <c r="E1037" s="11"/>
      <c r="F1037" s="24"/>
      <c r="G1037" s="11"/>
      <c r="H1037" s="11"/>
    </row>
    <row r="1038" spans="1:8" ht="12.75" hidden="1">
      <c r="A1038" s="11"/>
      <c r="B1038" s="11"/>
      <c r="C1038" s="11"/>
      <c r="D1038" s="24"/>
      <c r="E1038" s="11"/>
      <c r="F1038" s="24"/>
      <c r="G1038" s="11"/>
      <c r="H1038" s="11"/>
    </row>
    <row r="1039" spans="1:8" ht="12.75" hidden="1">
      <c r="A1039" s="11"/>
      <c r="B1039" s="11"/>
      <c r="C1039" s="11"/>
      <c r="D1039" s="24"/>
      <c r="E1039" s="11"/>
      <c r="F1039" s="24"/>
      <c r="G1039" s="11"/>
      <c r="H1039" s="11"/>
    </row>
    <row r="1040" spans="1:8" ht="12.75" hidden="1">
      <c r="A1040" s="11"/>
      <c r="B1040" s="11"/>
      <c r="C1040" s="11"/>
      <c r="D1040" s="24"/>
      <c r="E1040" s="11"/>
      <c r="F1040" s="24"/>
      <c r="G1040" s="11"/>
      <c r="H1040" s="11"/>
    </row>
    <row r="1041" spans="1:8" ht="12.75" hidden="1">
      <c r="A1041" s="11"/>
      <c r="B1041" s="11"/>
      <c r="C1041" s="11"/>
      <c r="D1041" s="24"/>
      <c r="E1041" s="11"/>
      <c r="F1041" s="24"/>
      <c r="G1041" s="11"/>
      <c r="H1041" s="11"/>
    </row>
    <row r="1042" spans="1:8" ht="12.75" hidden="1">
      <c r="A1042" s="11"/>
      <c r="B1042" s="11"/>
      <c r="C1042" s="11"/>
      <c r="D1042" s="24"/>
      <c r="E1042" s="11"/>
      <c r="F1042" s="24"/>
      <c r="G1042" s="11"/>
      <c r="H1042" s="11"/>
    </row>
    <row r="1043" spans="1:8" ht="12.75" hidden="1">
      <c r="A1043" s="11"/>
      <c r="B1043" s="11"/>
      <c r="C1043" s="11"/>
      <c r="D1043" s="24"/>
      <c r="E1043" s="11"/>
      <c r="F1043" s="24"/>
      <c r="G1043" s="11"/>
      <c r="H1043" s="11"/>
    </row>
    <row r="1044" spans="1:8" ht="12.75" hidden="1">
      <c r="A1044" s="11"/>
      <c r="B1044" s="11"/>
      <c r="C1044" s="11"/>
      <c r="D1044" s="24"/>
      <c r="E1044" s="11"/>
      <c r="F1044" s="24"/>
      <c r="G1044" s="11"/>
      <c r="H1044" s="11"/>
    </row>
    <row r="1045" spans="1:8" ht="12.75" hidden="1">
      <c r="A1045" s="11"/>
      <c r="B1045" s="11"/>
      <c r="C1045" s="11"/>
      <c r="D1045" s="24"/>
      <c r="E1045" s="11"/>
      <c r="F1045" s="24"/>
      <c r="G1045" s="11"/>
      <c r="H1045" s="11"/>
    </row>
    <row r="1046" spans="1:8" ht="12.75" hidden="1">
      <c r="A1046" s="11"/>
      <c r="B1046" s="11"/>
      <c r="C1046" s="11"/>
      <c r="D1046" s="24"/>
      <c r="E1046" s="11"/>
      <c r="F1046" s="24"/>
      <c r="G1046" s="11"/>
      <c r="H1046" s="11"/>
    </row>
    <row r="1047" spans="1:8" ht="12.75" hidden="1">
      <c r="A1047" s="11"/>
      <c r="B1047" s="11"/>
      <c r="C1047" s="11"/>
      <c r="D1047" s="24"/>
      <c r="E1047" s="11"/>
      <c r="F1047" s="24"/>
      <c r="G1047" s="11"/>
      <c r="H1047" s="11"/>
    </row>
    <row r="1048" spans="1:8" ht="12.75" hidden="1">
      <c r="A1048" s="11"/>
      <c r="B1048" s="11"/>
      <c r="C1048" s="11"/>
      <c r="D1048" s="24"/>
      <c r="E1048" s="11"/>
      <c r="F1048" s="24"/>
      <c r="G1048" s="11"/>
      <c r="H1048" s="11"/>
    </row>
    <row r="1049" spans="1:8" ht="12.75" hidden="1">
      <c r="A1049" s="11"/>
      <c r="B1049" s="11"/>
      <c r="C1049" s="11"/>
      <c r="D1049" s="24"/>
      <c r="E1049" s="11"/>
      <c r="F1049" s="24"/>
      <c r="G1049" s="11"/>
      <c r="H1049" s="11"/>
    </row>
    <row r="1050" spans="1:8" ht="12.75" hidden="1">
      <c r="A1050" s="11"/>
      <c r="B1050" s="11"/>
      <c r="C1050" s="11"/>
      <c r="D1050" s="24"/>
      <c r="E1050" s="11"/>
      <c r="F1050" s="24"/>
      <c r="G1050" s="11"/>
      <c r="H1050" s="11"/>
    </row>
    <row r="1051" spans="1:8" ht="12.75" hidden="1">
      <c r="A1051" s="11"/>
      <c r="B1051" s="11"/>
      <c r="C1051" s="11"/>
      <c r="D1051" s="24"/>
      <c r="E1051" s="11"/>
      <c r="F1051" s="24"/>
      <c r="G1051" s="11"/>
      <c r="H1051" s="11"/>
    </row>
    <row r="1052" spans="1:8" ht="12.75" hidden="1">
      <c r="A1052" s="11"/>
      <c r="B1052" s="11"/>
      <c r="C1052" s="11"/>
      <c r="D1052" s="24"/>
      <c r="E1052" s="11"/>
      <c r="F1052" s="24"/>
      <c r="G1052" s="11"/>
      <c r="H1052" s="11"/>
    </row>
    <row r="1053" spans="1:8" ht="12.75" hidden="1">
      <c r="A1053" s="11"/>
      <c r="B1053" s="11"/>
      <c r="C1053" s="11"/>
      <c r="D1053" s="24"/>
      <c r="E1053" s="11"/>
      <c r="F1053" s="24"/>
      <c r="G1053" s="11"/>
      <c r="H1053" s="11"/>
    </row>
    <row r="1054" spans="1:8" ht="12.75" hidden="1">
      <c r="A1054" s="11"/>
      <c r="B1054" s="11"/>
      <c r="C1054" s="11"/>
      <c r="D1054" s="24"/>
      <c r="E1054" s="11"/>
      <c r="F1054" s="24"/>
      <c r="G1054" s="11"/>
      <c r="H1054" s="11"/>
    </row>
    <row r="1055" spans="1:8" ht="12.75" hidden="1">
      <c r="A1055" s="11"/>
      <c r="B1055" s="11"/>
      <c r="C1055" s="11"/>
      <c r="D1055" s="24"/>
      <c r="E1055" s="11"/>
      <c r="F1055" s="24"/>
      <c r="G1055" s="11"/>
      <c r="H1055" s="11"/>
    </row>
    <row r="1056" spans="1:8" ht="12.75" hidden="1">
      <c r="A1056" s="11"/>
      <c r="B1056" s="11"/>
      <c r="C1056" s="11"/>
      <c r="D1056" s="24"/>
      <c r="E1056" s="11"/>
      <c r="F1056" s="24"/>
      <c r="G1056" s="11"/>
      <c r="H1056" s="11"/>
    </row>
    <row r="1057" spans="1:8" ht="12.75" hidden="1">
      <c r="A1057" s="11"/>
      <c r="B1057" s="11"/>
      <c r="C1057" s="11"/>
      <c r="D1057" s="24"/>
      <c r="E1057" s="11"/>
      <c r="F1057" s="24"/>
      <c r="G1057" s="11"/>
      <c r="H1057" s="11"/>
    </row>
    <row r="1058" spans="1:8" ht="12.75" hidden="1">
      <c r="A1058" s="11"/>
      <c r="B1058" s="11"/>
      <c r="C1058" s="11"/>
      <c r="D1058" s="24"/>
      <c r="E1058" s="11"/>
      <c r="F1058" s="24"/>
      <c r="G1058" s="11"/>
      <c r="H1058" s="11"/>
    </row>
    <row r="1059" spans="1:8" ht="12.75" hidden="1">
      <c r="A1059" s="11"/>
      <c r="B1059" s="11"/>
      <c r="C1059" s="11"/>
      <c r="D1059" s="24"/>
      <c r="E1059" s="11"/>
      <c r="F1059" s="24"/>
      <c r="G1059" s="11"/>
      <c r="H1059" s="11"/>
    </row>
    <row r="1060" spans="1:8" ht="12.75" hidden="1">
      <c r="A1060" s="11"/>
      <c r="B1060" s="11"/>
      <c r="C1060" s="11"/>
      <c r="D1060" s="24"/>
      <c r="E1060" s="11"/>
      <c r="F1060" s="24"/>
      <c r="G1060" s="11"/>
      <c r="H1060" s="11"/>
    </row>
    <row r="1061" spans="1:8" ht="12.75" hidden="1">
      <c r="A1061" s="11"/>
      <c r="B1061" s="11"/>
      <c r="C1061" s="11"/>
      <c r="D1061" s="24"/>
      <c r="E1061" s="11"/>
      <c r="F1061" s="24"/>
      <c r="G1061" s="11"/>
      <c r="H1061" s="11"/>
    </row>
    <row r="1062" spans="1:8" ht="12.75" hidden="1">
      <c r="A1062" s="11"/>
      <c r="B1062" s="11"/>
      <c r="C1062" s="11"/>
      <c r="D1062" s="24"/>
      <c r="E1062" s="11"/>
      <c r="F1062" s="24"/>
      <c r="G1062" s="11"/>
      <c r="H1062" s="11"/>
    </row>
    <row r="1063" spans="1:8" ht="12.75" hidden="1">
      <c r="A1063" s="11"/>
      <c r="B1063" s="11"/>
      <c r="C1063" s="11"/>
      <c r="D1063" s="24"/>
      <c r="E1063" s="11"/>
      <c r="F1063" s="24"/>
      <c r="G1063" s="11"/>
      <c r="H1063" s="11"/>
    </row>
    <row r="1064" spans="1:8" ht="12.75" hidden="1">
      <c r="A1064" s="11"/>
      <c r="B1064" s="11"/>
      <c r="C1064" s="11"/>
      <c r="D1064" s="24"/>
      <c r="E1064" s="11"/>
      <c r="F1064" s="24"/>
      <c r="G1064" s="11"/>
      <c r="H1064" s="11"/>
    </row>
    <row r="1065" spans="1:8" ht="12.75" hidden="1">
      <c r="A1065" s="11"/>
      <c r="B1065" s="11"/>
      <c r="C1065" s="11"/>
      <c r="D1065" s="24"/>
      <c r="E1065" s="11"/>
      <c r="F1065" s="24"/>
      <c r="G1065" s="11"/>
      <c r="H1065" s="11"/>
    </row>
    <row r="1066" spans="1:8" ht="12.75" hidden="1">
      <c r="A1066" s="11"/>
      <c r="B1066" s="11"/>
      <c r="C1066" s="11"/>
      <c r="D1066" s="24"/>
      <c r="E1066" s="11"/>
      <c r="F1066" s="24"/>
      <c r="G1066" s="11"/>
      <c r="H1066" s="11"/>
    </row>
    <row r="1067" spans="1:8" ht="12.75" hidden="1">
      <c r="A1067" s="11"/>
      <c r="B1067" s="11"/>
      <c r="C1067" s="11"/>
      <c r="D1067" s="24"/>
      <c r="E1067" s="11"/>
      <c r="F1067" s="24"/>
      <c r="G1067" s="11"/>
      <c r="H1067" s="11"/>
    </row>
    <row r="1068" spans="1:8" ht="12.75" hidden="1">
      <c r="A1068" s="11"/>
      <c r="B1068" s="11"/>
      <c r="C1068" s="11"/>
      <c r="D1068" s="24"/>
      <c r="E1068" s="11"/>
      <c r="F1068" s="24"/>
      <c r="G1068" s="11"/>
      <c r="H1068" s="11"/>
    </row>
    <row r="1069" spans="1:8" ht="12.75" hidden="1">
      <c r="A1069" s="11"/>
      <c r="B1069" s="11"/>
      <c r="C1069" s="11"/>
      <c r="D1069" s="24"/>
      <c r="E1069" s="11"/>
      <c r="F1069" s="24"/>
      <c r="G1069" s="11"/>
      <c r="H1069" s="11"/>
    </row>
    <row r="1070" spans="1:8" ht="12.75" hidden="1">
      <c r="A1070" s="11"/>
      <c r="B1070" s="11"/>
      <c r="C1070" s="11"/>
      <c r="D1070" s="24"/>
      <c r="E1070" s="11"/>
      <c r="F1070" s="24"/>
      <c r="G1070" s="11"/>
      <c r="H1070" s="11"/>
    </row>
    <row r="1071" spans="1:8" ht="12.75" hidden="1">
      <c r="A1071" s="11"/>
      <c r="B1071" s="11"/>
      <c r="C1071" s="11"/>
      <c r="D1071" s="24"/>
      <c r="E1071" s="11"/>
      <c r="F1071" s="24"/>
      <c r="G1071" s="11"/>
      <c r="H1071" s="11"/>
    </row>
    <row r="1072" spans="1:8" ht="12.75" hidden="1">
      <c r="A1072" s="11"/>
      <c r="B1072" s="11"/>
      <c r="C1072" s="11"/>
      <c r="D1072" s="24"/>
      <c r="E1072" s="11"/>
      <c r="F1072" s="24"/>
      <c r="G1072" s="11"/>
      <c r="H1072" s="11"/>
    </row>
    <row r="1073" spans="1:8" ht="12.75" hidden="1">
      <c r="A1073" s="11"/>
      <c r="B1073" s="11"/>
      <c r="C1073" s="11"/>
      <c r="D1073" s="24"/>
      <c r="E1073" s="11"/>
      <c r="F1073" s="24"/>
      <c r="G1073" s="11"/>
      <c r="H1073" s="11"/>
    </row>
    <row r="1074" spans="1:8" ht="12.75" hidden="1">
      <c r="A1074" s="11"/>
      <c r="B1074" s="11"/>
      <c r="C1074" s="11"/>
      <c r="D1074" s="24"/>
      <c r="E1074" s="11"/>
      <c r="F1074" s="24"/>
      <c r="G1074" s="11"/>
      <c r="H1074" s="11"/>
    </row>
    <row r="1075" spans="1:8" ht="12.75" hidden="1">
      <c r="A1075" s="11"/>
      <c r="B1075" s="11"/>
      <c r="C1075" s="11"/>
      <c r="D1075" s="24"/>
      <c r="E1075" s="11"/>
      <c r="F1075" s="24"/>
      <c r="G1075" s="11"/>
      <c r="H1075" s="11"/>
    </row>
    <row r="1076" spans="1:8" ht="12.75" hidden="1">
      <c r="A1076" s="11"/>
      <c r="B1076" s="11"/>
      <c r="C1076" s="11"/>
      <c r="D1076" s="24"/>
      <c r="E1076" s="11"/>
      <c r="F1076" s="24"/>
      <c r="G1076" s="11"/>
      <c r="H1076" s="11"/>
    </row>
    <row r="1077" spans="1:8" ht="12.75" hidden="1">
      <c r="A1077" s="11"/>
      <c r="B1077" s="11"/>
      <c r="C1077" s="11"/>
      <c r="D1077" s="24"/>
      <c r="E1077" s="11"/>
      <c r="F1077" s="24"/>
      <c r="G1077" s="11"/>
      <c r="H1077" s="11"/>
    </row>
    <row r="1078" spans="1:8" ht="12.75" hidden="1">
      <c r="A1078" s="11"/>
      <c r="B1078" s="11"/>
      <c r="C1078" s="11"/>
      <c r="D1078" s="24"/>
      <c r="E1078" s="11"/>
      <c r="F1078" s="24"/>
      <c r="G1078" s="11"/>
      <c r="H1078" s="11"/>
    </row>
    <row r="1079" spans="1:8" ht="12.75" hidden="1">
      <c r="A1079" s="11"/>
      <c r="B1079" s="11"/>
      <c r="C1079" s="11"/>
      <c r="D1079" s="24"/>
      <c r="E1079" s="11"/>
      <c r="F1079" s="24"/>
      <c r="G1079" s="11"/>
      <c r="H1079" s="11"/>
    </row>
    <row r="1080" spans="1:8" ht="12.75" hidden="1">
      <c r="A1080" s="11"/>
      <c r="B1080" s="11"/>
      <c r="C1080" s="11"/>
      <c r="D1080" s="24"/>
      <c r="E1080" s="11"/>
      <c r="F1080" s="24"/>
      <c r="G1080" s="11"/>
      <c r="H1080" s="11"/>
    </row>
    <row r="1081" spans="1:8" ht="12.75" hidden="1">
      <c r="A1081" s="11"/>
      <c r="B1081" s="11"/>
      <c r="C1081" s="11"/>
      <c r="D1081" s="24"/>
      <c r="E1081" s="11"/>
      <c r="F1081" s="24"/>
      <c r="G1081" s="11"/>
      <c r="H1081" s="11"/>
    </row>
    <row r="1082" spans="1:8" ht="12.75" hidden="1">
      <c r="A1082" s="11"/>
      <c r="B1082" s="11"/>
      <c r="C1082" s="11"/>
      <c r="D1082" s="24"/>
      <c r="E1082" s="11"/>
      <c r="F1082" s="24"/>
      <c r="G1082" s="11"/>
      <c r="H1082" s="11"/>
    </row>
    <row r="1083" spans="1:8" ht="12.75" hidden="1">
      <c r="A1083" s="11"/>
      <c r="B1083" s="11"/>
      <c r="C1083" s="11"/>
      <c r="D1083" s="24"/>
      <c r="E1083" s="11"/>
      <c r="F1083" s="24"/>
      <c r="G1083" s="11"/>
      <c r="H1083" s="11"/>
    </row>
    <row r="1084" spans="1:8" ht="12.75" hidden="1">
      <c r="A1084" s="11"/>
      <c r="B1084" s="11"/>
      <c r="C1084" s="11"/>
      <c r="D1084" s="24"/>
      <c r="E1084" s="11"/>
      <c r="F1084" s="24"/>
      <c r="G1084" s="11"/>
      <c r="H1084" s="11"/>
    </row>
    <row r="1085" spans="1:8" ht="12.75" hidden="1">
      <c r="A1085" s="11"/>
      <c r="B1085" s="11"/>
      <c r="C1085" s="11"/>
      <c r="D1085" s="24"/>
      <c r="E1085" s="11"/>
      <c r="F1085" s="24"/>
      <c r="G1085" s="11"/>
      <c r="H1085" s="11"/>
    </row>
    <row r="1086" spans="1:8" ht="12.75" hidden="1">
      <c r="A1086" s="11"/>
      <c r="B1086" s="11"/>
      <c r="C1086" s="11"/>
      <c r="D1086" s="24"/>
      <c r="E1086" s="11"/>
      <c r="F1086" s="24"/>
      <c r="G1086" s="11"/>
      <c r="H1086" s="11"/>
    </row>
    <row r="1087" spans="1:8" ht="12.75" hidden="1">
      <c r="A1087" s="11"/>
      <c r="B1087" s="11"/>
      <c r="C1087" s="11"/>
      <c r="D1087" s="24"/>
      <c r="E1087" s="11"/>
      <c r="F1087" s="24"/>
      <c r="G1087" s="11"/>
      <c r="H1087" s="11"/>
    </row>
    <row r="1088" spans="1:8" ht="12.75" hidden="1">
      <c r="A1088" s="11"/>
      <c r="B1088" s="11"/>
      <c r="C1088" s="11"/>
      <c r="D1088" s="24"/>
      <c r="E1088" s="11"/>
      <c r="F1088" s="24"/>
      <c r="G1088" s="11"/>
      <c r="H1088" s="11"/>
    </row>
    <row r="1089" spans="1:8" ht="12.75" hidden="1">
      <c r="A1089" s="11"/>
      <c r="B1089" s="11"/>
      <c r="C1089" s="11"/>
      <c r="D1089" s="24"/>
      <c r="E1089" s="11"/>
      <c r="F1089" s="24"/>
      <c r="G1089" s="11"/>
      <c r="H1089" s="11"/>
    </row>
    <row r="1090" spans="1:8" ht="12.75" hidden="1">
      <c r="A1090" s="11"/>
      <c r="B1090" s="11"/>
      <c r="C1090" s="11"/>
      <c r="D1090" s="24"/>
      <c r="E1090" s="11"/>
      <c r="F1090" s="24"/>
      <c r="G1090" s="11"/>
      <c r="H1090" s="11"/>
    </row>
    <row r="1091" spans="1:8" ht="12.75" hidden="1">
      <c r="A1091" s="11"/>
      <c r="B1091" s="11"/>
      <c r="C1091" s="11"/>
      <c r="D1091" s="24"/>
      <c r="E1091" s="11"/>
      <c r="F1091" s="24"/>
      <c r="G1091" s="11"/>
      <c r="H1091" s="11"/>
    </row>
    <row r="1092" spans="1:8" ht="12.75" hidden="1">
      <c r="A1092" s="11"/>
      <c r="B1092" s="11"/>
      <c r="C1092" s="11"/>
      <c r="D1092" s="24"/>
      <c r="E1092" s="11"/>
      <c r="F1092" s="24"/>
      <c r="G1092" s="11"/>
      <c r="H1092" s="11"/>
    </row>
    <row r="1093" spans="1:8" ht="12.75" hidden="1">
      <c r="A1093" s="11"/>
      <c r="B1093" s="11"/>
      <c r="C1093" s="11"/>
      <c r="D1093" s="24"/>
      <c r="E1093" s="11"/>
      <c r="F1093" s="24"/>
      <c r="G1093" s="11"/>
      <c r="H1093" s="11"/>
    </row>
    <row r="1094" spans="1:8" ht="12.75" hidden="1">
      <c r="A1094" s="11"/>
      <c r="B1094" s="11"/>
      <c r="C1094" s="11"/>
      <c r="D1094" s="24"/>
      <c r="E1094" s="11"/>
      <c r="F1094" s="24"/>
      <c r="G1094" s="11"/>
      <c r="H1094" s="11"/>
    </row>
    <row r="1095" spans="1:8" ht="12.75" hidden="1">
      <c r="A1095" s="11"/>
      <c r="B1095" s="11"/>
      <c r="C1095" s="11"/>
      <c r="D1095" s="24"/>
      <c r="E1095" s="11"/>
      <c r="F1095" s="24"/>
      <c r="G1095" s="11"/>
      <c r="H1095" s="11"/>
    </row>
    <row r="1096" spans="1:8" ht="12.75" hidden="1">
      <c r="A1096" s="11"/>
      <c r="B1096" s="11"/>
      <c r="C1096" s="11"/>
      <c r="D1096" s="24"/>
      <c r="E1096" s="11"/>
      <c r="F1096" s="24"/>
      <c r="G1096" s="11"/>
      <c r="H1096" s="11"/>
    </row>
    <row r="1097" spans="1:8" ht="12.75" hidden="1">
      <c r="A1097" s="11"/>
      <c r="B1097" s="11"/>
      <c r="C1097" s="11"/>
      <c r="D1097" s="24"/>
      <c r="E1097" s="11"/>
      <c r="F1097" s="24"/>
      <c r="G1097" s="11"/>
      <c r="H1097" s="11"/>
    </row>
    <row r="1098" spans="1:8" ht="12.75" hidden="1">
      <c r="A1098" s="11"/>
      <c r="B1098" s="11"/>
      <c r="C1098" s="11"/>
      <c r="D1098" s="24"/>
      <c r="E1098" s="11"/>
      <c r="F1098" s="24"/>
      <c r="G1098" s="11"/>
      <c r="H1098" s="11"/>
    </row>
    <row r="1099" spans="1:8" ht="12.75" hidden="1">
      <c r="A1099" s="11"/>
      <c r="B1099" s="11"/>
      <c r="C1099" s="11"/>
      <c r="D1099" s="24"/>
      <c r="E1099" s="11"/>
      <c r="F1099" s="24"/>
      <c r="G1099" s="11"/>
      <c r="H1099" s="11"/>
    </row>
    <row r="1100" spans="1:8" ht="12.75" hidden="1">
      <c r="A1100" s="11"/>
      <c r="B1100" s="11"/>
      <c r="C1100" s="11"/>
      <c r="D1100" s="24"/>
      <c r="E1100" s="11"/>
      <c r="F1100" s="24"/>
      <c r="G1100" s="11"/>
      <c r="H1100" s="11"/>
    </row>
    <row r="1101" spans="1:8" ht="12.75" hidden="1">
      <c r="A1101" s="11"/>
      <c r="B1101" s="11"/>
      <c r="C1101" s="11"/>
      <c r="D1101" s="24"/>
      <c r="E1101" s="11"/>
      <c r="F1101" s="24"/>
      <c r="G1101" s="11"/>
      <c r="H1101" s="11"/>
    </row>
    <row r="1102" spans="1:8" ht="12.75" hidden="1">
      <c r="A1102" s="11"/>
      <c r="B1102" s="11"/>
      <c r="C1102" s="11"/>
      <c r="D1102" s="24"/>
      <c r="E1102" s="11"/>
      <c r="F1102" s="24"/>
      <c r="G1102" s="11"/>
      <c r="H1102" s="11"/>
    </row>
    <row r="1103" spans="1:8" ht="12.75" hidden="1">
      <c r="A1103" s="11"/>
      <c r="B1103" s="11"/>
      <c r="C1103" s="11"/>
      <c r="D1103" s="24"/>
      <c r="E1103" s="11"/>
      <c r="F1103" s="24"/>
      <c r="G1103" s="11"/>
      <c r="H1103" s="11"/>
    </row>
    <row r="1104" spans="1:8" ht="12.75" hidden="1">
      <c r="A1104" s="11"/>
      <c r="B1104" s="11"/>
      <c r="C1104" s="11"/>
      <c r="D1104" s="24"/>
      <c r="E1104" s="11"/>
      <c r="F1104" s="24"/>
      <c r="G1104" s="11"/>
      <c r="H1104" s="11"/>
    </row>
    <row r="1105" spans="1:8" ht="12.75" hidden="1">
      <c r="A1105" s="11"/>
      <c r="B1105" s="11"/>
      <c r="C1105" s="11"/>
      <c r="D1105" s="24"/>
      <c r="E1105" s="11"/>
      <c r="F1105" s="24"/>
      <c r="G1105" s="11"/>
      <c r="H1105" s="11"/>
    </row>
    <row r="1106" spans="1:8" ht="12.75" hidden="1">
      <c r="A1106" s="11"/>
      <c r="B1106" s="11"/>
      <c r="C1106" s="11"/>
      <c r="D1106" s="24"/>
      <c r="E1106" s="11"/>
      <c r="F1106" s="24"/>
      <c r="G1106" s="11"/>
      <c r="H1106" s="11"/>
    </row>
    <row r="1107" spans="1:8" ht="12.75" hidden="1">
      <c r="A1107" s="11"/>
      <c r="B1107" s="11"/>
      <c r="C1107" s="11"/>
      <c r="D1107" s="24"/>
      <c r="E1107" s="11"/>
      <c r="F1107" s="24"/>
      <c r="G1107" s="11"/>
      <c r="H1107" s="11"/>
    </row>
    <row r="1108" spans="1:8" ht="12.75" hidden="1">
      <c r="A1108" s="11"/>
      <c r="B1108" s="11"/>
      <c r="C1108" s="11"/>
      <c r="D1108" s="24"/>
      <c r="E1108" s="11"/>
      <c r="F1108" s="24"/>
      <c r="G1108" s="11"/>
      <c r="H1108" s="11"/>
    </row>
    <row r="1109" spans="1:8" ht="12.75" hidden="1">
      <c r="A1109" s="11"/>
      <c r="B1109" s="11"/>
      <c r="C1109" s="11"/>
      <c r="D1109" s="24"/>
      <c r="E1109" s="11"/>
      <c r="F1109" s="24"/>
      <c r="G1109" s="11"/>
      <c r="H1109" s="11"/>
    </row>
    <row r="1110" spans="1:8" ht="12.75" hidden="1">
      <c r="A1110" s="11"/>
      <c r="B1110" s="11"/>
      <c r="C1110" s="11"/>
      <c r="D1110" s="24"/>
      <c r="E1110" s="11"/>
      <c r="F1110" s="24"/>
      <c r="G1110" s="11"/>
      <c r="H1110" s="11"/>
    </row>
    <row r="1111" spans="1:8" ht="12.75" hidden="1">
      <c r="A1111" s="11"/>
      <c r="B1111" s="11"/>
      <c r="C1111" s="11"/>
      <c r="D1111" s="24"/>
      <c r="E1111" s="11"/>
      <c r="F1111" s="24"/>
      <c r="G1111" s="11"/>
      <c r="H1111" s="11"/>
    </row>
    <row r="1112" spans="1:8" ht="12.75" hidden="1">
      <c r="A1112" s="11"/>
      <c r="B1112" s="11"/>
      <c r="C1112" s="11"/>
      <c r="D1112" s="24"/>
      <c r="E1112" s="11"/>
      <c r="F1112" s="24"/>
      <c r="G1112" s="11"/>
      <c r="H1112" s="11"/>
    </row>
    <row r="1113" spans="1:8" ht="12.75" hidden="1">
      <c r="A1113" s="11"/>
      <c r="B1113" s="11"/>
      <c r="C1113" s="11"/>
      <c r="D1113" s="24"/>
      <c r="E1113" s="11"/>
      <c r="F1113" s="24"/>
      <c r="G1113" s="11"/>
      <c r="H1113" s="11"/>
    </row>
    <row r="1114" spans="1:8" ht="12.75" hidden="1">
      <c r="A1114" s="11"/>
      <c r="B1114" s="11"/>
      <c r="C1114" s="11"/>
      <c r="D1114" s="24"/>
      <c r="E1114" s="11"/>
      <c r="F1114" s="24"/>
      <c r="G1114" s="11"/>
      <c r="H1114" s="11"/>
    </row>
    <row r="1115" spans="1:8" ht="12.75" hidden="1">
      <c r="A1115" s="11"/>
      <c r="B1115" s="11"/>
      <c r="C1115" s="11"/>
      <c r="D1115" s="24"/>
      <c r="E1115" s="11"/>
      <c r="F1115" s="24"/>
      <c r="G1115" s="11"/>
      <c r="H1115" s="11"/>
    </row>
    <row r="1116" spans="1:8" ht="12.75" hidden="1">
      <c r="A1116" s="11"/>
      <c r="B1116" s="11"/>
      <c r="C1116" s="11"/>
      <c r="D1116" s="24"/>
      <c r="E1116" s="11"/>
      <c r="F1116" s="24"/>
      <c r="G1116" s="11"/>
      <c r="H1116" s="11"/>
    </row>
    <row r="1117" spans="1:8" ht="12.75" hidden="1">
      <c r="A1117" s="11"/>
      <c r="B1117" s="11"/>
      <c r="C1117" s="11"/>
      <c r="D1117" s="24"/>
      <c r="E1117" s="11"/>
      <c r="F1117" s="24"/>
      <c r="G1117" s="11"/>
      <c r="H1117" s="11"/>
    </row>
    <row r="1118" spans="1:8" ht="12.75" hidden="1">
      <c r="A1118" s="11"/>
      <c r="B1118" s="11"/>
      <c r="C1118" s="11"/>
      <c r="D1118" s="24"/>
      <c r="E1118" s="11"/>
      <c r="F1118" s="24"/>
      <c r="G1118" s="11"/>
      <c r="H1118" s="11"/>
    </row>
    <row r="1119" spans="1:8" ht="12.75" hidden="1">
      <c r="A1119" s="11"/>
      <c r="B1119" s="11"/>
      <c r="C1119" s="11"/>
      <c r="D1119" s="24"/>
      <c r="E1119" s="11"/>
      <c r="F1119" s="24"/>
      <c r="G1119" s="11"/>
      <c r="H1119" s="11"/>
    </row>
    <row r="1120" spans="1:8" ht="12.75" hidden="1">
      <c r="A1120" s="11"/>
      <c r="B1120" s="11"/>
      <c r="C1120" s="11"/>
      <c r="D1120" s="24"/>
      <c r="E1120" s="11"/>
      <c r="F1120" s="24"/>
      <c r="G1120" s="11"/>
      <c r="H1120" s="11"/>
    </row>
    <row r="1121" spans="1:8" ht="12.75" hidden="1">
      <c r="A1121" s="11"/>
      <c r="B1121" s="11"/>
      <c r="C1121" s="11"/>
      <c r="D1121" s="24"/>
      <c r="E1121" s="11"/>
      <c r="F1121" s="24"/>
      <c r="G1121" s="11"/>
      <c r="H1121" s="11"/>
    </row>
    <row r="1122" spans="1:8" ht="12.75" hidden="1">
      <c r="A1122" s="11"/>
      <c r="B1122" s="11"/>
      <c r="C1122" s="11"/>
      <c r="D1122" s="24"/>
      <c r="E1122" s="11"/>
      <c r="F1122" s="24"/>
      <c r="G1122" s="11"/>
      <c r="H1122" s="11"/>
    </row>
    <row r="1123" spans="1:8" ht="12.75" hidden="1">
      <c r="A1123" s="11"/>
      <c r="B1123" s="11"/>
      <c r="C1123" s="11"/>
      <c r="D1123" s="24"/>
      <c r="E1123" s="11"/>
      <c r="F1123" s="24"/>
      <c r="G1123" s="11"/>
      <c r="H1123" s="11"/>
    </row>
    <row r="1124" spans="1:8" ht="12.75" hidden="1">
      <c r="A1124" s="11"/>
      <c r="B1124" s="11"/>
      <c r="C1124" s="11"/>
      <c r="D1124" s="24"/>
      <c r="E1124" s="11"/>
      <c r="F1124" s="24"/>
      <c r="G1124" s="11"/>
      <c r="H1124" s="11"/>
    </row>
    <row r="1125" spans="1:8" ht="12.75" hidden="1">
      <c r="A1125" s="11"/>
      <c r="B1125" s="11"/>
      <c r="C1125" s="11"/>
      <c r="D1125" s="24"/>
      <c r="E1125" s="11"/>
      <c r="F1125" s="24"/>
      <c r="G1125" s="11"/>
      <c r="H1125" s="11"/>
    </row>
    <row r="1126" spans="1:8" ht="12.75" hidden="1">
      <c r="A1126" s="11"/>
      <c r="B1126" s="11"/>
      <c r="C1126" s="11"/>
      <c r="D1126" s="24"/>
      <c r="E1126" s="11"/>
      <c r="F1126" s="24"/>
      <c r="G1126" s="11"/>
      <c r="H1126" s="11"/>
    </row>
    <row r="1127" spans="1:8" ht="12.75" hidden="1">
      <c r="A1127" s="11"/>
      <c r="B1127" s="11"/>
      <c r="C1127" s="11"/>
      <c r="D1127" s="24"/>
      <c r="E1127" s="11"/>
      <c r="F1127" s="24"/>
      <c r="G1127" s="11"/>
      <c r="H1127" s="11"/>
    </row>
    <row r="1128" spans="1:8" ht="12.75" hidden="1">
      <c r="A1128" s="11"/>
      <c r="B1128" s="11"/>
      <c r="C1128" s="11"/>
      <c r="D1128" s="24"/>
      <c r="E1128" s="11"/>
      <c r="F1128" s="24"/>
      <c r="G1128" s="11"/>
      <c r="H1128" s="11"/>
    </row>
    <row r="1129" spans="1:8" ht="12.75" hidden="1">
      <c r="A1129" s="11"/>
      <c r="B1129" s="11"/>
      <c r="C1129" s="11"/>
      <c r="D1129" s="24"/>
      <c r="E1129" s="11"/>
      <c r="F1129" s="24"/>
      <c r="G1129" s="11"/>
      <c r="H1129" s="11"/>
    </row>
    <row r="1130" spans="1:8" ht="12.75" hidden="1">
      <c r="A1130" s="11"/>
      <c r="B1130" s="11"/>
      <c r="C1130" s="11"/>
      <c r="D1130" s="24"/>
      <c r="E1130" s="11"/>
      <c r="F1130" s="24"/>
      <c r="G1130" s="11"/>
      <c r="H1130" s="11"/>
    </row>
    <row r="1131" spans="1:8" ht="12.75" hidden="1">
      <c r="A1131" s="11"/>
      <c r="B1131" s="11"/>
      <c r="C1131" s="11"/>
      <c r="D1131" s="24"/>
      <c r="E1131" s="11"/>
      <c r="F1131" s="24"/>
      <c r="G1131" s="11"/>
      <c r="H1131" s="11"/>
    </row>
    <row r="1132" spans="1:8" ht="12.75" hidden="1">
      <c r="A1132" s="11"/>
      <c r="B1132" s="11"/>
      <c r="C1132" s="11"/>
      <c r="D1132" s="24"/>
      <c r="E1132" s="11"/>
      <c r="F1132" s="24"/>
      <c r="G1132" s="11"/>
      <c r="H1132" s="11"/>
    </row>
    <row r="1133" spans="1:8" ht="12.75" hidden="1">
      <c r="A1133" s="11"/>
      <c r="B1133" s="11"/>
      <c r="C1133" s="11"/>
      <c r="D1133" s="24"/>
      <c r="E1133" s="11"/>
      <c r="F1133" s="24"/>
      <c r="G1133" s="11"/>
      <c r="H1133" s="11"/>
    </row>
    <row r="1134" spans="1:8" ht="12.75" hidden="1">
      <c r="A1134" s="11"/>
      <c r="B1134" s="11"/>
      <c r="C1134" s="11"/>
      <c r="D1134" s="24"/>
      <c r="E1134" s="11"/>
      <c r="F1134" s="24"/>
      <c r="G1134" s="11"/>
      <c r="H1134" s="11"/>
    </row>
    <row r="1135" spans="1:8" ht="12.75" hidden="1">
      <c r="A1135" s="11"/>
      <c r="B1135" s="11"/>
      <c r="C1135" s="11"/>
      <c r="D1135" s="24"/>
      <c r="E1135" s="11"/>
      <c r="F1135" s="24"/>
      <c r="G1135" s="11"/>
      <c r="H1135" s="11"/>
    </row>
    <row r="1136" spans="1:8" ht="12.75" hidden="1">
      <c r="A1136" s="11"/>
      <c r="B1136" s="11"/>
      <c r="C1136" s="11"/>
      <c r="D1136" s="24"/>
      <c r="E1136" s="11"/>
      <c r="F1136" s="24"/>
      <c r="G1136" s="11"/>
      <c r="H1136" s="11"/>
    </row>
    <row r="1137" spans="1:8" ht="12.75" hidden="1">
      <c r="A1137" s="11"/>
      <c r="B1137" s="11"/>
      <c r="C1137" s="11"/>
      <c r="D1137" s="24"/>
      <c r="E1137" s="11"/>
      <c r="F1137" s="24"/>
      <c r="G1137" s="11"/>
      <c r="H1137" s="11"/>
    </row>
    <row r="1138" spans="1:8" ht="12.75" hidden="1">
      <c r="A1138" s="11"/>
      <c r="B1138" s="11"/>
      <c r="C1138" s="11"/>
      <c r="D1138" s="24"/>
      <c r="E1138" s="11"/>
      <c r="F1138" s="24"/>
      <c r="G1138" s="11"/>
      <c r="H1138" s="11"/>
    </row>
    <row r="1139" spans="1:8" ht="12.75" hidden="1">
      <c r="A1139" s="11"/>
      <c r="B1139" s="11"/>
      <c r="C1139" s="11"/>
      <c r="D1139" s="24"/>
      <c r="E1139" s="11"/>
      <c r="F1139" s="24"/>
      <c r="G1139" s="11"/>
      <c r="H1139" s="11"/>
    </row>
    <row r="1140" spans="1:8" ht="12.75" hidden="1">
      <c r="A1140" s="11"/>
      <c r="B1140" s="11"/>
      <c r="C1140" s="11"/>
      <c r="D1140" s="24"/>
      <c r="E1140" s="11"/>
      <c r="F1140" s="24"/>
      <c r="G1140" s="11"/>
      <c r="H1140" s="11"/>
    </row>
    <row r="1141" spans="1:8" ht="12.75" hidden="1">
      <c r="A1141" s="11"/>
      <c r="B1141" s="11"/>
      <c r="C1141" s="11"/>
      <c r="D1141" s="24"/>
      <c r="E1141" s="11"/>
      <c r="F1141" s="24"/>
      <c r="G1141" s="11"/>
      <c r="H1141" s="11"/>
    </row>
    <row r="1142" spans="1:8" ht="12.75" hidden="1">
      <c r="A1142" s="11"/>
      <c r="B1142" s="11"/>
      <c r="C1142" s="11"/>
      <c r="D1142" s="24"/>
      <c r="E1142" s="11"/>
      <c r="F1142" s="24"/>
      <c r="G1142" s="11"/>
      <c r="H1142" s="11"/>
    </row>
    <row r="1143" spans="1:8" ht="12.75" hidden="1">
      <c r="A1143" s="11"/>
      <c r="B1143" s="11"/>
      <c r="C1143" s="11"/>
      <c r="D1143" s="24"/>
      <c r="E1143" s="11"/>
      <c r="F1143" s="24"/>
      <c r="G1143" s="11"/>
      <c r="H1143" s="11"/>
    </row>
    <row r="1144" spans="1:8" ht="12.75" hidden="1">
      <c r="A1144" s="11"/>
      <c r="B1144" s="11"/>
      <c r="C1144" s="11"/>
      <c r="D1144" s="24"/>
      <c r="E1144" s="11"/>
      <c r="F1144" s="24"/>
      <c r="G1144" s="11"/>
      <c r="H1144" s="11"/>
    </row>
    <row r="1145" spans="1:8" ht="12.75" hidden="1">
      <c r="A1145" s="11"/>
      <c r="B1145" s="11"/>
      <c r="C1145" s="11"/>
      <c r="D1145" s="24"/>
      <c r="E1145" s="11"/>
      <c r="F1145" s="24"/>
      <c r="G1145" s="11"/>
      <c r="H1145" s="11"/>
    </row>
    <row r="1146" spans="1:8" ht="12.75" hidden="1">
      <c r="A1146" s="11"/>
      <c r="B1146" s="11"/>
      <c r="C1146" s="11"/>
      <c r="D1146" s="24"/>
      <c r="E1146" s="11"/>
      <c r="F1146" s="24"/>
      <c r="G1146" s="11"/>
      <c r="H1146" s="11"/>
    </row>
    <row r="1147" spans="1:8" ht="12.75" hidden="1">
      <c r="A1147" s="11"/>
      <c r="B1147" s="11"/>
      <c r="C1147" s="11"/>
      <c r="D1147" s="24"/>
      <c r="E1147" s="11"/>
      <c r="F1147" s="24"/>
      <c r="G1147" s="11"/>
      <c r="H1147" s="11"/>
    </row>
    <row r="1148" spans="1:8" ht="12.75" hidden="1">
      <c r="A1148" s="11"/>
      <c r="B1148" s="11"/>
      <c r="C1148" s="11"/>
      <c r="D1148" s="24"/>
      <c r="E1148" s="11"/>
      <c r="F1148" s="24"/>
      <c r="G1148" s="11"/>
      <c r="H1148" s="11"/>
    </row>
    <row r="1149" spans="1:8" ht="12.75" hidden="1">
      <c r="A1149" s="11"/>
      <c r="B1149" s="11"/>
      <c r="C1149" s="11"/>
      <c r="D1149" s="24"/>
      <c r="E1149" s="11"/>
      <c r="F1149" s="24"/>
      <c r="G1149" s="11"/>
      <c r="H1149" s="11"/>
    </row>
    <row r="1150" spans="1:8" ht="12.75" hidden="1">
      <c r="A1150" s="11"/>
      <c r="B1150" s="11"/>
      <c r="C1150" s="11"/>
      <c r="D1150" s="24"/>
      <c r="E1150" s="11"/>
      <c r="F1150" s="24"/>
      <c r="G1150" s="11"/>
      <c r="H1150" s="11"/>
    </row>
    <row r="1151" spans="1:8" ht="12.75" hidden="1">
      <c r="A1151" s="11"/>
      <c r="B1151" s="11"/>
      <c r="C1151" s="11"/>
      <c r="D1151" s="24"/>
      <c r="E1151" s="11"/>
      <c r="F1151" s="24"/>
      <c r="G1151" s="11"/>
      <c r="H1151" s="11"/>
    </row>
    <row r="1152" spans="1:8" ht="12.75" hidden="1">
      <c r="A1152" s="11"/>
      <c r="B1152" s="11"/>
      <c r="C1152" s="11"/>
      <c r="D1152" s="24"/>
      <c r="E1152" s="11"/>
      <c r="F1152" s="24"/>
      <c r="G1152" s="11"/>
      <c r="H1152" s="11"/>
    </row>
    <row r="1153" spans="1:8" ht="12.75" hidden="1">
      <c r="A1153" s="11"/>
      <c r="B1153" s="11"/>
      <c r="C1153" s="11"/>
      <c r="D1153" s="24"/>
      <c r="E1153" s="11"/>
      <c r="F1153" s="24"/>
      <c r="G1153" s="11"/>
      <c r="H1153" s="11"/>
    </row>
    <row r="1154" spans="1:8" ht="12.75" hidden="1">
      <c r="A1154" s="11"/>
      <c r="B1154" s="11"/>
      <c r="C1154" s="11"/>
      <c r="D1154" s="24"/>
      <c r="E1154" s="11"/>
      <c r="F1154" s="24"/>
      <c r="G1154" s="11"/>
      <c r="H1154" s="11"/>
    </row>
    <row r="1155" spans="1:8" ht="12.75" hidden="1">
      <c r="A1155" s="11"/>
      <c r="B1155" s="11"/>
      <c r="C1155" s="11"/>
      <c r="D1155" s="24"/>
      <c r="E1155" s="11"/>
      <c r="F1155" s="24"/>
      <c r="G1155" s="11"/>
      <c r="H1155" s="11"/>
    </row>
    <row r="1156" spans="1:8" ht="12.75" hidden="1">
      <c r="A1156" s="11"/>
      <c r="B1156" s="11"/>
      <c r="C1156" s="11"/>
      <c r="D1156" s="24"/>
      <c r="E1156" s="11"/>
      <c r="F1156" s="24"/>
      <c r="G1156" s="11"/>
      <c r="H1156" s="11"/>
    </row>
    <row r="1157" spans="1:8" ht="12.75" hidden="1">
      <c r="A1157" s="11"/>
      <c r="B1157" s="11"/>
      <c r="C1157" s="11"/>
      <c r="D1157" s="24"/>
      <c r="E1157" s="11"/>
      <c r="F1157" s="24"/>
      <c r="G1157" s="11"/>
      <c r="H1157" s="11"/>
    </row>
    <row r="1158" spans="1:8" ht="12.75" hidden="1">
      <c r="A1158" s="11"/>
      <c r="B1158" s="11"/>
      <c r="C1158" s="11"/>
      <c r="D1158" s="24"/>
      <c r="E1158" s="11"/>
      <c r="F1158" s="24"/>
      <c r="G1158" s="11"/>
      <c r="H1158" s="11"/>
    </row>
    <row r="1159" spans="1:8" ht="12.75" hidden="1">
      <c r="A1159" s="11"/>
      <c r="B1159" s="11"/>
      <c r="C1159" s="11"/>
      <c r="D1159" s="24"/>
      <c r="E1159" s="11"/>
      <c r="F1159" s="24"/>
      <c r="G1159" s="11"/>
      <c r="H1159" s="11"/>
    </row>
    <row r="1160" spans="1:8" ht="12.75" hidden="1">
      <c r="A1160" s="11"/>
      <c r="B1160" s="11"/>
      <c r="C1160" s="11"/>
      <c r="D1160" s="24"/>
      <c r="E1160" s="11"/>
      <c r="F1160" s="24"/>
      <c r="G1160" s="11"/>
      <c r="H1160" s="11"/>
    </row>
    <row r="1161" spans="1:8" ht="12.75" hidden="1">
      <c r="A1161" s="11"/>
      <c r="B1161" s="11"/>
      <c r="C1161" s="11"/>
      <c r="D1161" s="24"/>
      <c r="E1161" s="11"/>
      <c r="F1161" s="24"/>
      <c r="G1161" s="11"/>
      <c r="H1161" s="11"/>
    </row>
    <row r="1162" spans="1:8" ht="12.75" hidden="1">
      <c r="A1162" s="11"/>
      <c r="B1162" s="11"/>
      <c r="C1162" s="11"/>
      <c r="D1162" s="24"/>
      <c r="E1162" s="11"/>
      <c r="F1162" s="24"/>
      <c r="G1162" s="11"/>
      <c r="H1162" s="11"/>
    </row>
    <row r="1163" spans="1:8" ht="12.75" hidden="1">
      <c r="A1163" s="11"/>
      <c r="B1163" s="11"/>
      <c r="C1163" s="11"/>
      <c r="D1163" s="24"/>
      <c r="E1163" s="11"/>
      <c r="F1163" s="24"/>
      <c r="G1163" s="11"/>
      <c r="H1163" s="11"/>
    </row>
    <row r="1164" spans="1:8" ht="12.75" hidden="1">
      <c r="A1164" s="11"/>
      <c r="B1164" s="11"/>
      <c r="C1164" s="11"/>
      <c r="D1164" s="24"/>
      <c r="E1164" s="11"/>
      <c r="F1164" s="24"/>
      <c r="G1164" s="11"/>
      <c r="H1164" s="11"/>
    </row>
    <row r="1165" spans="1:8" ht="12.75" hidden="1">
      <c r="A1165" s="11"/>
      <c r="B1165" s="11"/>
      <c r="C1165" s="11"/>
      <c r="D1165" s="24"/>
      <c r="E1165" s="11"/>
      <c r="F1165" s="24"/>
      <c r="G1165" s="11"/>
      <c r="H1165" s="11"/>
    </row>
    <row r="1166" spans="1:8" ht="12.75" hidden="1">
      <c r="A1166" s="11"/>
      <c r="B1166" s="11"/>
      <c r="C1166" s="11"/>
      <c r="D1166" s="24"/>
      <c r="E1166" s="11"/>
      <c r="F1166" s="24"/>
      <c r="G1166" s="11"/>
      <c r="H1166" s="11"/>
    </row>
    <row r="1167" spans="1:8" ht="12.75" hidden="1">
      <c r="A1167" s="11"/>
      <c r="B1167" s="11"/>
      <c r="C1167" s="11"/>
      <c r="D1167" s="24"/>
      <c r="E1167" s="11"/>
      <c r="F1167" s="24"/>
      <c r="G1167" s="11"/>
      <c r="H1167" s="11"/>
    </row>
    <row r="1168" spans="1:8" ht="12.75" hidden="1">
      <c r="A1168" s="11"/>
      <c r="B1168" s="11"/>
      <c r="C1168" s="11"/>
      <c r="D1168" s="24"/>
      <c r="E1168" s="11"/>
      <c r="F1168" s="24"/>
      <c r="G1168" s="11"/>
      <c r="H1168" s="11"/>
    </row>
    <row r="1169" spans="1:8" ht="12.75" hidden="1">
      <c r="A1169" s="11"/>
      <c r="B1169" s="11"/>
      <c r="C1169" s="11"/>
      <c r="D1169" s="24"/>
      <c r="E1169" s="11"/>
      <c r="F1169" s="24"/>
      <c r="G1169" s="11"/>
      <c r="H1169" s="11"/>
    </row>
    <row r="1170" spans="1:8" ht="12.75" hidden="1">
      <c r="A1170" s="11"/>
      <c r="B1170" s="11"/>
      <c r="C1170" s="11"/>
      <c r="D1170" s="24"/>
      <c r="E1170" s="11"/>
      <c r="F1170" s="24"/>
      <c r="G1170" s="11"/>
      <c r="H1170" s="11"/>
    </row>
    <row r="1171" spans="1:8" ht="12.75" hidden="1">
      <c r="A1171" s="11"/>
      <c r="B1171" s="11"/>
      <c r="C1171" s="11"/>
      <c r="D1171" s="24"/>
      <c r="E1171" s="11"/>
      <c r="F1171" s="24"/>
      <c r="G1171" s="11"/>
      <c r="H1171" s="11"/>
    </row>
    <row r="1172" spans="1:8" ht="12.75" hidden="1">
      <c r="A1172" s="11"/>
      <c r="B1172" s="11"/>
      <c r="C1172" s="11"/>
      <c r="D1172" s="24"/>
      <c r="E1172" s="11"/>
      <c r="F1172" s="24"/>
      <c r="G1172" s="11"/>
      <c r="H1172" s="11"/>
    </row>
    <row r="1173" spans="1:8" ht="12.75" hidden="1">
      <c r="A1173" s="11"/>
      <c r="B1173" s="11"/>
      <c r="C1173" s="11"/>
      <c r="D1173" s="24"/>
      <c r="E1173" s="11"/>
      <c r="F1173" s="24"/>
      <c r="G1173" s="11"/>
      <c r="H1173" s="11"/>
    </row>
    <row r="1174" spans="1:8" ht="12.75" hidden="1">
      <c r="A1174" s="11"/>
      <c r="B1174" s="11"/>
      <c r="C1174" s="11"/>
      <c r="D1174" s="24"/>
      <c r="E1174" s="11"/>
      <c r="F1174" s="24"/>
      <c r="G1174" s="11"/>
      <c r="H1174" s="11"/>
    </row>
    <row r="1175" spans="1:8" ht="12.75" hidden="1">
      <c r="A1175" s="11"/>
      <c r="B1175" s="11"/>
      <c r="C1175" s="11"/>
      <c r="D1175" s="24"/>
      <c r="E1175" s="11"/>
      <c r="F1175" s="24"/>
      <c r="G1175" s="11"/>
      <c r="H1175" s="11"/>
    </row>
    <row r="1176" spans="1:8" ht="12.75" hidden="1">
      <c r="A1176" s="11"/>
      <c r="B1176" s="11"/>
      <c r="C1176" s="11"/>
      <c r="D1176" s="24"/>
      <c r="E1176" s="11"/>
      <c r="F1176" s="24"/>
      <c r="G1176" s="11"/>
      <c r="H1176" s="11"/>
    </row>
    <row r="1177" spans="1:8" ht="12.75" hidden="1">
      <c r="A1177" s="11"/>
      <c r="B1177" s="11"/>
      <c r="C1177" s="11"/>
      <c r="D1177" s="24"/>
      <c r="E1177" s="11"/>
      <c r="F1177" s="24"/>
      <c r="G1177" s="11"/>
      <c r="H1177" s="11"/>
    </row>
    <row r="1178" spans="1:8" ht="12.75" hidden="1">
      <c r="A1178" s="11"/>
      <c r="B1178" s="11"/>
      <c r="C1178" s="11"/>
      <c r="D1178" s="24"/>
      <c r="E1178" s="11"/>
      <c r="F1178" s="24"/>
      <c r="G1178" s="11"/>
      <c r="H1178" s="11"/>
    </row>
    <row r="1179" spans="1:8" ht="12.75" hidden="1">
      <c r="A1179" s="11"/>
      <c r="B1179" s="11"/>
      <c r="C1179" s="11"/>
      <c r="D1179" s="24"/>
      <c r="E1179" s="11"/>
      <c r="F1179" s="24"/>
      <c r="G1179" s="11"/>
      <c r="H1179" s="11"/>
    </row>
    <row r="1180" spans="1:8" ht="12.75" hidden="1">
      <c r="A1180" s="11"/>
      <c r="B1180" s="11"/>
      <c r="C1180" s="11"/>
      <c r="D1180" s="24"/>
      <c r="E1180" s="11"/>
      <c r="F1180" s="24"/>
      <c r="G1180" s="11"/>
      <c r="H1180" s="11"/>
    </row>
    <row r="1181" spans="1:8" ht="12.75" hidden="1">
      <c r="A1181" s="11"/>
      <c r="B1181" s="11"/>
      <c r="C1181" s="11"/>
      <c r="D1181" s="24"/>
      <c r="E1181" s="11"/>
      <c r="F1181" s="24"/>
      <c r="G1181" s="11"/>
      <c r="H1181" s="11"/>
    </row>
    <row r="1182" spans="1:8" ht="12.75" hidden="1">
      <c r="A1182" s="11"/>
      <c r="B1182" s="11"/>
      <c r="C1182" s="11"/>
      <c r="D1182" s="24"/>
      <c r="E1182" s="11"/>
      <c r="F1182" s="24"/>
      <c r="G1182" s="11"/>
      <c r="H1182" s="11"/>
    </row>
    <row r="1183" spans="1:8" ht="12.75" hidden="1">
      <c r="A1183" s="11"/>
      <c r="B1183" s="11"/>
      <c r="C1183" s="11"/>
      <c r="D1183" s="24"/>
      <c r="E1183" s="11"/>
      <c r="F1183" s="24"/>
      <c r="G1183" s="11"/>
      <c r="H1183" s="11"/>
    </row>
    <row r="1184" spans="1:8" ht="12.75" hidden="1">
      <c r="A1184" s="11"/>
      <c r="B1184" s="11"/>
      <c r="C1184" s="11"/>
      <c r="D1184" s="24"/>
      <c r="E1184" s="11"/>
      <c r="F1184" s="24"/>
      <c r="G1184" s="11"/>
      <c r="H1184" s="11"/>
    </row>
    <row r="1185" spans="1:8" ht="12.75" hidden="1">
      <c r="A1185" s="11"/>
      <c r="B1185" s="11"/>
      <c r="C1185" s="11"/>
      <c r="D1185" s="24"/>
      <c r="E1185" s="11"/>
      <c r="F1185" s="24"/>
      <c r="G1185" s="11"/>
      <c r="H1185" s="11"/>
    </row>
    <row r="1186" spans="1:8" ht="12.75" hidden="1">
      <c r="A1186" s="11"/>
      <c r="B1186" s="11"/>
      <c r="C1186" s="11"/>
      <c r="D1186" s="24"/>
      <c r="E1186" s="11"/>
      <c r="F1186" s="24"/>
      <c r="G1186" s="11"/>
      <c r="H1186" s="11"/>
    </row>
    <row r="1187" spans="1:8" ht="12.75" hidden="1">
      <c r="A1187" s="11"/>
      <c r="B1187" s="11"/>
      <c r="C1187" s="11"/>
      <c r="D1187" s="24"/>
      <c r="E1187" s="11"/>
      <c r="F1187" s="24"/>
      <c r="G1187" s="11"/>
      <c r="H1187" s="11"/>
    </row>
    <row r="1188" spans="1:8" ht="12.75" hidden="1">
      <c r="A1188" s="11"/>
      <c r="B1188" s="11"/>
      <c r="C1188" s="11"/>
      <c r="D1188" s="24"/>
      <c r="E1188" s="11"/>
      <c r="F1188" s="24"/>
      <c r="G1188" s="11"/>
      <c r="H1188" s="11"/>
    </row>
    <row r="1189" spans="1:8" ht="12.75" hidden="1">
      <c r="A1189" s="11"/>
      <c r="B1189" s="11"/>
      <c r="C1189" s="11"/>
      <c r="D1189" s="24"/>
      <c r="E1189" s="11"/>
      <c r="F1189" s="24"/>
      <c r="G1189" s="11"/>
      <c r="H1189" s="11"/>
    </row>
    <row r="1190" spans="1:8" ht="12.75" hidden="1">
      <c r="A1190" s="11"/>
      <c r="B1190" s="11"/>
      <c r="C1190" s="11"/>
      <c r="D1190" s="24"/>
      <c r="E1190" s="11"/>
      <c r="F1190" s="24"/>
      <c r="G1190" s="11"/>
      <c r="H1190" s="11"/>
    </row>
    <row r="1191" spans="1:8" ht="12.75" hidden="1">
      <c r="A1191" s="11"/>
      <c r="B1191" s="11"/>
      <c r="C1191" s="11"/>
      <c r="D1191" s="24"/>
      <c r="E1191" s="11"/>
      <c r="F1191" s="24"/>
      <c r="G1191" s="11"/>
      <c r="H1191" s="11"/>
    </row>
    <row r="1192" spans="1:8" ht="12.75" hidden="1">
      <c r="A1192" s="11"/>
      <c r="B1192" s="11"/>
      <c r="C1192" s="11"/>
      <c r="D1192" s="24"/>
      <c r="E1192" s="11"/>
      <c r="F1192" s="24"/>
      <c r="G1192" s="11"/>
      <c r="H1192" s="11"/>
    </row>
    <row r="1193" spans="1:8" ht="12.75" hidden="1">
      <c r="A1193" s="11"/>
      <c r="B1193" s="11"/>
      <c r="C1193" s="11"/>
      <c r="D1193" s="24"/>
      <c r="E1193" s="11"/>
      <c r="F1193" s="24"/>
      <c r="G1193" s="11"/>
      <c r="H1193" s="11"/>
    </row>
    <row r="1194" spans="1:8" ht="12.75" hidden="1">
      <c r="A1194" s="11"/>
      <c r="B1194" s="11"/>
      <c r="C1194" s="11"/>
      <c r="D1194" s="24"/>
      <c r="E1194" s="11"/>
      <c r="F1194" s="24"/>
      <c r="G1194" s="11"/>
      <c r="H1194" s="11"/>
    </row>
    <row r="1195" spans="1:8" ht="12.75" hidden="1">
      <c r="A1195" s="11"/>
      <c r="B1195" s="11"/>
      <c r="C1195" s="11"/>
      <c r="D1195" s="24"/>
      <c r="E1195" s="11"/>
      <c r="F1195" s="24"/>
      <c r="G1195" s="11"/>
      <c r="H1195" s="11"/>
    </row>
    <row r="1196" spans="1:8" ht="12.75" hidden="1">
      <c r="A1196" s="11"/>
      <c r="B1196" s="11"/>
      <c r="C1196" s="11"/>
      <c r="D1196" s="24"/>
      <c r="E1196" s="11"/>
      <c r="F1196" s="24"/>
      <c r="G1196" s="11"/>
      <c r="H1196" s="11"/>
    </row>
    <row r="1197" spans="1:8" ht="12.75" hidden="1">
      <c r="A1197" s="11"/>
      <c r="B1197" s="11"/>
      <c r="C1197" s="11"/>
      <c r="D1197" s="24"/>
      <c r="E1197" s="11"/>
      <c r="F1197" s="24"/>
      <c r="G1197" s="11"/>
      <c r="H1197" s="11"/>
    </row>
    <row r="1198" spans="1:8" ht="12.75" hidden="1">
      <c r="A1198" s="11"/>
      <c r="B1198" s="11"/>
      <c r="C1198" s="11"/>
      <c r="D1198" s="24"/>
      <c r="E1198" s="11"/>
      <c r="F1198" s="24"/>
      <c r="G1198" s="11"/>
      <c r="H1198" s="11"/>
    </row>
    <row r="1199" spans="1:8" ht="12.75" hidden="1">
      <c r="A1199" s="11"/>
      <c r="B1199" s="11"/>
      <c r="C1199" s="11"/>
      <c r="D1199" s="24"/>
      <c r="E1199" s="11"/>
      <c r="F1199" s="24"/>
      <c r="G1199" s="11"/>
      <c r="H1199" s="11"/>
    </row>
    <row r="1200" spans="1:8" ht="12.75" hidden="1">
      <c r="A1200" s="11"/>
      <c r="B1200" s="11"/>
      <c r="C1200" s="11"/>
      <c r="D1200" s="24"/>
      <c r="E1200" s="11"/>
      <c r="F1200" s="24"/>
      <c r="G1200" s="11"/>
      <c r="H1200" s="11"/>
    </row>
    <row r="1201" spans="1:8" ht="12.75" hidden="1">
      <c r="A1201" s="11"/>
      <c r="B1201" s="11"/>
      <c r="C1201" s="11"/>
      <c r="D1201" s="24"/>
      <c r="E1201" s="11"/>
      <c r="F1201" s="24"/>
      <c r="G1201" s="11"/>
      <c r="H1201" s="11"/>
    </row>
    <row r="1202" spans="1:8" ht="12.75" hidden="1">
      <c r="A1202" s="11"/>
      <c r="B1202" s="11"/>
      <c r="C1202" s="11"/>
      <c r="D1202" s="24"/>
      <c r="E1202" s="11"/>
      <c r="F1202" s="24"/>
      <c r="G1202" s="11"/>
      <c r="H1202" s="11"/>
    </row>
    <row r="1203" spans="1:8" ht="12.75" hidden="1">
      <c r="A1203" s="11"/>
      <c r="B1203" s="11"/>
      <c r="C1203" s="11"/>
      <c r="D1203" s="24"/>
      <c r="E1203" s="11"/>
      <c r="F1203" s="24"/>
      <c r="G1203" s="11"/>
      <c r="H1203" s="11"/>
    </row>
    <row r="1204" spans="1:8" ht="12.75" hidden="1">
      <c r="A1204" s="11"/>
      <c r="B1204" s="11"/>
      <c r="C1204" s="11"/>
      <c r="D1204" s="24"/>
      <c r="E1204" s="11"/>
      <c r="F1204" s="24"/>
      <c r="G1204" s="11"/>
      <c r="H1204" s="11"/>
    </row>
    <row r="1205" spans="1:8" ht="12.75" hidden="1">
      <c r="A1205" s="11"/>
      <c r="B1205" s="11"/>
      <c r="C1205" s="11"/>
      <c r="D1205" s="24"/>
      <c r="E1205" s="11"/>
      <c r="F1205" s="24"/>
      <c r="G1205" s="11"/>
      <c r="H1205" s="11"/>
    </row>
    <row r="1206" spans="1:8" ht="12.75" hidden="1">
      <c r="A1206" s="11"/>
      <c r="B1206" s="11"/>
      <c r="C1206" s="11"/>
      <c r="D1206" s="24"/>
      <c r="E1206" s="11"/>
      <c r="F1206" s="24"/>
      <c r="G1206" s="11"/>
      <c r="H1206" s="11"/>
    </row>
    <row r="1207" spans="1:8" ht="12.75" hidden="1">
      <c r="A1207" s="11"/>
      <c r="B1207" s="11"/>
      <c r="C1207" s="11"/>
      <c r="D1207" s="24"/>
      <c r="E1207" s="11"/>
      <c r="F1207" s="24"/>
      <c r="G1207" s="11"/>
      <c r="H1207" s="11"/>
    </row>
    <row r="1208" spans="1:8" ht="12.75" hidden="1">
      <c r="A1208" s="11"/>
      <c r="B1208" s="11"/>
      <c r="C1208" s="11"/>
      <c r="D1208" s="24"/>
      <c r="E1208" s="11"/>
      <c r="F1208" s="24"/>
      <c r="G1208" s="11"/>
      <c r="H1208" s="11"/>
    </row>
    <row r="1209" spans="1:8" ht="12.75" hidden="1">
      <c r="A1209" s="11"/>
      <c r="B1209" s="11"/>
      <c r="C1209" s="11"/>
      <c r="D1209" s="24"/>
      <c r="E1209" s="11"/>
      <c r="F1209" s="24"/>
      <c r="G1209" s="11"/>
      <c r="H1209" s="11"/>
    </row>
    <row r="1210" spans="1:8" ht="12.75" hidden="1">
      <c r="A1210" s="11"/>
      <c r="B1210" s="11"/>
      <c r="C1210" s="11"/>
      <c r="D1210" s="24"/>
      <c r="E1210" s="11"/>
      <c r="F1210" s="24"/>
      <c r="G1210" s="11"/>
      <c r="H1210" s="11"/>
    </row>
    <row r="1211" spans="1:8" ht="12.75" hidden="1">
      <c r="A1211" s="11"/>
      <c r="B1211" s="11"/>
      <c r="C1211" s="11"/>
      <c r="D1211" s="24"/>
      <c r="E1211" s="11"/>
      <c r="F1211" s="24"/>
      <c r="G1211" s="11"/>
      <c r="H1211" s="11"/>
    </row>
    <row r="1212" spans="1:8" ht="12.75" hidden="1">
      <c r="A1212" s="11"/>
      <c r="B1212" s="11"/>
      <c r="C1212" s="11"/>
      <c r="D1212" s="24"/>
      <c r="E1212" s="11"/>
      <c r="F1212" s="24"/>
      <c r="G1212" s="11"/>
      <c r="H1212" s="11"/>
    </row>
    <row r="1213" spans="1:8" ht="12.75" hidden="1">
      <c r="A1213" s="11"/>
      <c r="B1213" s="11"/>
      <c r="C1213" s="11"/>
      <c r="D1213" s="24"/>
      <c r="E1213" s="11"/>
      <c r="F1213" s="24"/>
      <c r="G1213" s="11"/>
      <c r="H1213" s="11"/>
    </row>
    <row r="1214" spans="1:8" ht="12.75" hidden="1">
      <c r="A1214" s="11"/>
      <c r="B1214" s="11"/>
      <c r="C1214" s="11"/>
      <c r="D1214" s="24"/>
      <c r="E1214" s="11"/>
      <c r="F1214" s="24"/>
      <c r="G1214" s="11"/>
      <c r="H1214" s="11"/>
    </row>
    <row r="1215" spans="1:8" ht="12.75" hidden="1">
      <c r="A1215" s="11"/>
      <c r="B1215" s="11"/>
      <c r="C1215" s="11"/>
      <c r="D1215" s="24"/>
      <c r="E1215" s="11"/>
      <c r="F1215" s="24"/>
      <c r="G1215" s="11"/>
      <c r="H1215" s="11"/>
    </row>
    <row r="1216" spans="1:8" ht="12.75" hidden="1">
      <c r="A1216" s="11"/>
      <c r="B1216" s="11"/>
      <c r="C1216" s="11"/>
      <c r="D1216" s="24"/>
      <c r="E1216" s="11"/>
      <c r="F1216" s="24"/>
      <c r="G1216" s="11"/>
      <c r="H1216" s="11"/>
    </row>
    <row r="1217" spans="1:8" ht="12.75" hidden="1">
      <c r="A1217" s="11"/>
      <c r="B1217" s="11"/>
      <c r="C1217" s="11"/>
      <c r="D1217" s="24"/>
      <c r="E1217" s="11"/>
      <c r="F1217" s="24"/>
      <c r="G1217" s="11"/>
      <c r="H1217" s="11"/>
    </row>
    <row r="1218" spans="1:8" ht="12.75" hidden="1">
      <c r="A1218" s="11"/>
      <c r="B1218" s="11"/>
      <c r="C1218" s="11"/>
      <c r="D1218" s="24"/>
      <c r="E1218" s="11"/>
      <c r="F1218" s="24"/>
      <c r="G1218" s="11"/>
      <c r="H1218" s="11"/>
    </row>
    <row r="1219" spans="1:8" ht="12.75" hidden="1">
      <c r="A1219" s="11"/>
      <c r="B1219" s="11"/>
      <c r="C1219" s="11"/>
      <c r="D1219" s="24"/>
      <c r="E1219" s="11"/>
      <c r="F1219" s="24"/>
      <c r="G1219" s="11"/>
      <c r="H1219" s="11"/>
    </row>
    <row r="1220" spans="1:8" ht="12.75" hidden="1">
      <c r="A1220" s="11"/>
      <c r="B1220" s="11"/>
      <c r="C1220" s="11"/>
      <c r="D1220" s="24"/>
      <c r="E1220" s="11"/>
      <c r="F1220" s="24"/>
      <c r="G1220" s="11"/>
      <c r="H1220" s="11"/>
    </row>
    <row r="1221" spans="1:8" ht="12.75" hidden="1">
      <c r="A1221" s="11"/>
      <c r="B1221" s="11"/>
      <c r="C1221" s="11"/>
      <c r="D1221" s="24"/>
      <c r="E1221" s="11"/>
      <c r="F1221" s="24"/>
      <c r="G1221" s="11"/>
      <c r="H1221" s="11"/>
    </row>
    <row r="1222" spans="1:8" ht="12.75" hidden="1">
      <c r="A1222" s="11"/>
      <c r="B1222" s="11"/>
      <c r="C1222" s="11"/>
      <c r="D1222" s="24"/>
      <c r="E1222" s="11"/>
      <c r="F1222" s="24"/>
      <c r="G1222" s="11"/>
      <c r="H1222" s="11"/>
    </row>
    <row r="1223" spans="1:8" ht="12.75" hidden="1">
      <c r="A1223" s="11"/>
      <c r="B1223" s="11"/>
      <c r="C1223" s="11"/>
      <c r="D1223" s="24"/>
      <c r="E1223" s="11"/>
      <c r="F1223" s="24"/>
      <c r="G1223" s="11"/>
      <c r="H1223" s="11"/>
    </row>
    <row r="1224" spans="1:8" ht="12.75" hidden="1">
      <c r="A1224" s="11"/>
      <c r="B1224" s="11"/>
      <c r="C1224" s="11"/>
      <c r="D1224" s="24"/>
      <c r="E1224" s="11"/>
      <c r="F1224" s="24"/>
      <c r="G1224" s="11"/>
      <c r="H1224" s="11"/>
    </row>
    <row r="1225" spans="1:8" ht="12.75" hidden="1">
      <c r="A1225" s="11"/>
      <c r="B1225" s="11"/>
      <c r="C1225" s="11"/>
      <c r="D1225" s="24"/>
      <c r="E1225" s="11"/>
      <c r="F1225" s="24"/>
      <c r="G1225" s="11"/>
      <c r="H1225" s="11"/>
    </row>
    <row r="1226" spans="1:8" ht="12.75" hidden="1">
      <c r="A1226" s="11"/>
      <c r="B1226" s="11"/>
      <c r="C1226" s="11"/>
      <c r="D1226" s="24"/>
      <c r="E1226" s="11"/>
      <c r="F1226" s="24"/>
      <c r="G1226" s="11"/>
      <c r="H1226" s="11"/>
    </row>
    <row r="1227" spans="1:8" ht="12.75" hidden="1">
      <c r="A1227" s="11"/>
      <c r="B1227" s="11"/>
      <c r="C1227" s="11"/>
      <c r="D1227" s="24"/>
      <c r="E1227" s="11"/>
      <c r="F1227" s="24"/>
      <c r="G1227" s="11"/>
      <c r="H1227" s="11"/>
    </row>
    <row r="1228" spans="1:8" ht="12.75" hidden="1">
      <c r="A1228" s="11"/>
      <c r="B1228" s="11"/>
      <c r="C1228" s="11"/>
      <c r="D1228" s="24"/>
      <c r="E1228" s="11"/>
      <c r="F1228" s="24"/>
      <c r="G1228" s="11"/>
      <c r="H1228" s="11"/>
    </row>
    <row r="1229" spans="1:8" ht="12.75" hidden="1">
      <c r="A1229" s="11"/>
      <c r="B1229" s="11"/>
      <c r="C1229" s="11"/>
      <c r="D1229" s="24"/>
      <c r="E1229" s="11"/>
      <c r="F1229" s="24"/>
      <c r="G1229" s="11"/>
      <c r="H1229" s="11"/>
    </row>
    <row r="1230" spans="1:8" ht="12.75" hidden="1">
      <c r="A1230" s="11"/>
      <c r="B1230" s="11"/>
      <c r="C1230" s="11"/>
      <c r="D1230" s="24"/>
      <c r="E1230" s="11"/>
      <c r="F1230" s="24"/>
      <c r="G1230" s="11"/>
      <c r="H1230" s="11"/>
    </row>
    <row r="1231" spans="1:8" ht="12.75" hidden="1">
      <c r="A1231" s="11"/>
      <c r="B1231" s="11"/>
      <c r="C1231" s="11"/>
      <c r="D1231" s="24"/>
      <c r="E1231" s="11"/>
      <c r="F1231" s="24"/>
      <c r="G1231" s="11"/>
      <c r="H1231" s="11"/>
    </row>
    <row r="1232" spans="1:8" ht="12.75" hidden="1">
      <c r="A1232" s="11"/>
      <c r="B1232" s="11"/>
      <c r="C1232" s="11"/>
      <c r="D1232" s="24"/>
      <c r="E1232" s="11"/>
      <c r="F1232" s="24"/>
      <c r="G1232" s="11"/>
      <c r="H1232" s="11"/>
    </row>
    <row r="1233" spans="1:8" ht="12.75" hidden="1">
      <c r="A1233" s="11"/>
      <c r="B1233" s="11"/>
      <c r="C1233" s="11"/>
      <c r="D1233" s="24"/>
      <c r="E1233" s="11"/>
      <c r="F1233" s="24"/>
      <c r="G1233" s="11"/>
      <c r="H1233" s="11"/>
    </row>
    <row r="1234" spans="1:8" ht="12.75" hidden="1">
      <c r="A1234" s="11"/>
      <c r="B1234" s="11"/>
      <c r="C1234" s="11"/>
      <c r="D1234" s="24"/>
      <c r="E1234" s="11"/>
      <c r="F1234" s="24"/>
      <c r="G1234" s="11"/>
      <c r="H1234" s="11"/>
    </row>
    <row r="1235" spans="1:8" ht="12.75" hidden="1">
      <c r="A1235" s="11"/>
      <c r="B1235" s="11"/>
      <c r="C1235" s="11"/>
      <c r="D1235" s="24"/>
      <c r="E1235" s="11"/>
      <c r="F1235" s="24"/>
      <c r="G1235" s="11"/>
      <c r="H1235" s="11"/>
    </row>
    <row r="1236" spans="1:8" ht="12.75" hidden="1">
      <c r="A1236" s="11"/>
      <c r="B1236" s="11"/>
      <c r="C1236" s="11"/>
      <c r="D1236" s="24"/>
      <c r="E1236" s="11"/>
      <c r="F1236" s="24"/>
      <c r="G1236" s="11"/>
      <c r="H1236" s="11"/>
    </row>
    <row r="1237" spans="1:8" ht="12.75" hidden="1">
      <c r="A1237" s="11"/>
      <c r="B1237" s="11"/>
      <c r="C1237" s="11"/>
      <c r="D1237" s="24"/>
      <c r="E1237" s="11"/>
      <c r="F1237" s="24"/>
      <c r="G1237" s="11"/>
      <c r="H1237" s="11"/>
    </row>
    <row r="1238" spans="1:8" ht="12.75" hidden="1">
      <c r="A1238" s="11"/>
      <c r="B1238" s="11"/>
      <c r="C1238" s="11"/>
      <c r="D1238" s="24"/>
      <c r="E1238" s="11"/>
      <c r="F1238" s="24"/>
      <c r="G1238" s="11"/>
      <c r="H1238" s="11"/>
    </row>
    <row r="1239" spans="1:8" ht="12.75" hidden="1">
      <c r="A1239" s="11"/>
      <c r="B1239" s="11"/>
      <c r="C1239" s="11"/>
      <c r="D1239" s="24"/>
      <c r="E1239" s="11"/>
      <c r="F1239" s="24"/>
      <c r="G1239" s="11"/>
      <c r="H1239" s="11"/>
    </row>
    <row r="1240" spans="1:8" ht="12.75" hidden="1">
      <c r="A1240" s="11"/>
      <c r="B1240" s="11"/>
      <c r="C1240" s="11"/>
      <c r="D1240" s="24"/>
      <c r="E1240" s="11"/>
      <c r="F1240" s="24"/>
      <c r="G1240" s="11"/>
      <c r="H1240" s="11"/>
    </row>
    <row r="1241" spans="1:8" ht="12.75" hidden="1">
      <c r="A1241" s="11"/>
      <c r="B1241" s="11"/>
      <c r="C1241" s="11"/>
      <c r="D1241" s="24"/>
      <c r="E1241" s="11"/>
      <c r="F1241" s="24"/>
      <c r="G1241" s="11"/>
      <c r="H1241" s="11"/>
    </row>
    <row r="1242" spans="1:8" ht="12.75" hidden="1">
      <c r="A1242" s="11"/>
      <c r="B1242" s="11"/>
      <c r="C1242" s="11"/>
      <c r="D1242" s="24"/>
      <c r="E1242" s="11"/>
      <c r="F1242" s="24"/>
      <c r="G1242" s="11"/>
      <c r="H1242" s="11"/>
    </row>
    <row r="1243" spans="1:8" ht="12.75" hidden="1">
      <c r="A1243" s="11"/>
      <c r="B1243" s="11"/>
      <c r="C1243" s="11"/>
      <c r="D1243" s="24"/>
      <c r="E1243" s="11"/>
      <c r="F1243" s="24"/>
      <c r="G1243" s="11"/>
      <c r="H1243" s="11"/>
    </row>
    <row r="1244" spans="1:8" ht="12.75" hidden="1">
      <c r="A1244" s="11"/>
      <c r="B1244" s="11"/>
      <c r="C1244" s="11"/>
      <c r="D1244" s="24"/>
      <c r="E1244" s="11"/>
      <c r="F1244" s="24"/>
      <c r="G1244" s="11"/>
      <c r="H1244" s="11"/>
    </row>
    <row r="1245" spans="1:8" ht="12.75" hidden="1">
      <c r="A1245" s="11"/>
      <c r="B1245" s="11"/>
      <c r="C1245" s="11"/>
      <c r="D1245" s="24"/>
      <c r="E1245" s="11"/>
      <c r="F1245" s="24"/>
      <c r="G1245" s="11"/>
      <c r="H1245" s="11"/>
    </row>
    <row r="1246" spans="1:8" ht="12.75" hidden="1">
      <c r="A1246" s="11"/>
      <c r="B1246" s="11"/>
      <c r="C1246" s="11"/>
      <c r="D1246" s="24"/>
      <c r="E1246" s="11"/>
      <c r="F1246" s="24"/>
      <c r="G1246" s="11"/>
      <c r="H1246" s="11"/>
    </row>
    <row r="1247" spans="1:8" ht="12.75" hidden="1">
      <c r="A1247" s="11"/>
      <c r="B1247" s="11"/>
      <c r="C1247" s="11"/>
      <c r="D1247" s="24"/>
      <c r="E1247" s="11"/>
      <c r="F1247" s="24"/>
      <c r="G1247" s="11"/>
      <c r="H1247" s="11"/>
    </row>
    <row r="1248" spans="1:8" ht="12.75" hidden="1">
      <c r="A1248" s="11"/>
      <c r="B1248" s="11"/>
      <c r="C1248" s="11"/>
      <c r="D1248" s="24"/>
      <c r="E1248" s="11"/>
      <c r="F1248" s="24"/>
      <c r="G1248" s="11"/>
      <c r="H1248" s="11"/>
    </row>
    <row r="1249" spans="1:8" ht="12.75" hidden="1">
      <c r="A1249" s="11"/>
      <c r="B1249" s="11"/>
      <c r="C1249" s="11"/>
      <c r="D1249" s="24"/>
      <c r="E1249" s="11"/>
      <c r="F1249" s="24"/>
      <c r="G1249" s="11"/>
      <c r="H1249" s="11"/>
    </row>
    <row r="1250" spans="1:8" ht="12.75" hidden="1">
      <c r="A1250" s="11"/>
      <c r="B1250" s="11"/>
      <c r="C1250" s="11"/>
      <c r="D1250" s="24"/>
      <c r="E1250" s="11"/>
      <c r="F1250" s="24"/>
      <c r="G1250" s="11"/>
      <c r="H1250" s="11"/>
    </row>
    <row r="1251" spans="1:8" ht="12.75" hidden="1">
      <c r="A1251" s="11"/>
      <c r="B1251" s="11"/>
      <c r="C1251" s="11"/>
      <c r="D1251" s="24"/>
      <c r="E1251" s="11"/>
      <c r="F1251" s="24"/>
      <c r="G1251" s="11"/>
      <c r="H1251" s="11"/>
    </row>
    <row r="1252" spans="1:8" ht="12.75" hidden="1">
      <c r="A1252" s="11"/>
      <c r="B1252" s="11"/>
      <c r="C1252" s="11"/>
      <c r="D1252" s="24"/>
      <c r="E1252" s="11"/>
      <c r="F1252" s="24"/>
      <c r="G1252" s="11"/>
      <c r="H1252" s="11"/>
    </row>
    <row r="1253" spans="1:8" ht="12.75" hidden="1">
      <c r="A1253" s="11"/>
      <c r="B1253" s="11"/>
      <c r="C1253" s="11"/>
      <c r="D1253" s="24"/>
      <c r="E1253" s="11"/>
      <c r="F1253" s="24"/>
      <c r="G1253" s="11"/>
      <c r="H1253" s="11"/>
    </row>
    <row r="1254" spans="1:8" ht="12.75" hidden="1">
      <c r="A1254" s="11"/>
      <c r="B1254" s="11"/>
      <c r="C1254" s="11"/>
      <c r="D1254" s="24"/>
      <c r="E1254" s="11"/>
      <c r="F1254" s="24"/>
      <c r="G1254" s="11"/>
      <c r="H1254" s="11"/>
    </row>
    <row r="1255" spans="1:8" ht="12.75" hidden="1">
      <c r="A1255" s="11"/>
      <c r="B1255" s="11"/>
      <c r="C1255" s="11"/>
      <c r="D1255" s="24"/>
      <c r="E1255" s="11"/>
      <c r="F1255" s="24"/>
      <c r="G1255" s="11"/>
      <c r="H1255" s="11"/>
    </row>
    <row r="1256" spans="1:8" ht="12.75" hidden="1">
      <c r="A1256" s="11"/>
      <c r="B1256" s="11"/>
      <c r="C1256" s="11"/>
      <c r="D1256" s="24"/>
      <c r="E1256" s="11"/>
      <c r="F1256" s="24"/>
      <c r="G1256" s="11"/>
      <c r="H1256" s="11"/>
    </row>
    <row r="1257" spans="1:8" ht="12.75" hidden="1">
      <c r="A1257" s="11"/>
      <c r="B1257" s="11"/>
      <c r="C1257" s="11"/>
      <c r="D1257" s="24"/>
      <c r="E1257" s="11"/>
      <c r="F1257" s="24"/>
      <c r="G1257" s="11"/>
      <c r="H1257" s="11"/>
    </row>
    <row r="1258" spans="1:8" ht="12.75" hidden="1">
      <c r="A1258" s="11"/>
      <c r="B1258" s="11"/>
      <c r="C1258" s="11"/>
      <c r="D1258" s="24"/>
      <c r="E1258" s="11"/>
      <c r="F1258" s="24"/>
      <c r="G1258" s="11"/>
      <c r="H1258" s="11"/>
    </row>
    <row r="1259" spans="1:8" ht="12.75" hidden="1">
      <c r="A1259" s="11"/>
      <c r="B1259" s="11"/>
      <c r="C1259" s="11"/>
      <c r="D1259" s="24"/>
      <c r="E1259" s="11"/>
      <c r="F1259" s="24"/>
      <c r="G1259" s="11"/>
      <c r="H1259" s="11"/>
    </row>
    <row r="1260" spans="1:8" ht="12.75" hidden="1">
      <c r="A1260" s="11"/>
      <c r="B1260" s="11"/>
      <c r="C1260" s="11"/>
      <c r="D1260" s="24"/>
      <c r="E1260" s="11"/>
      <c r="F1260" s="24"/>
      <c r="G1260" s="11"/>
      <c r="H1260" s="11"/>
    </row>
    <row r="1261" spans="1:8" ht="12.75" hidden="1">
      <c r="A1261" s="11"/>
      <c r="B1261" s="11"/>
      <c r="C1261" s="11"/>
      <c r="D1261" s="24"/>
      <c r="E1261" s="11"/>
      <c r="F1261" s="24"/>
      <c r="G1261" s="11"/>
      <c r="H1261" s="11"/>
    </row>
    <row r="1262" spans="1:8" ht="12.75" hidden="1">
      <c r="A1262" s="11"/>
      <c r="B1262" s="11"/>
      <c r="C1262" s="11"/>
      <c r="D1262" s="24"/>
      <c r="E1262" s="11"/>
      <c r="F1262" s="24"/>
      <c r="G1262" s="11"/>
      <c r="H1262" s="11"/>
    </row>
    <row r="1263" spans="1:8" ht="12.75" hidden="1">
      <c r="A1263" s="11"/>
      <c r="B1263" s="11"/>
      <c r="C1263" s="11"/>
      <c r="D1263" s="24"/>
      <c r="E1263" s="11"/>
      <c r="F1263" s="24"/>
      <c r="G1263" s="11"/>
      <c r="H1263" s="11"/>
    </row>
    <row r="1264" spans="1:8" ht="12.75" hidden="1">
      <c r="A1264" s="11"/>
      <c r="B1264" s="11"/>
      <c r="C1264" s="11"/>
      <c r="D1264" s="24"/>
      <c r="E1264" s="11"/>
      <c r="F1264" s="24"/>
      <c r="G1264" s="11"/>
      <c r="H1264" s="11"/>
    </row>
    <row r="1265" spans="1:8" ht="12.75" hidden="1">
      <c r="A1265" s="11"/>
      <c r="B1265" s="11"/>
      <c r="C1265" s="11"/>
      <c r="D1265" s="24"/>
      <c r="E1265" s="11"/>
      <c r="F1265" s="24"/>
      <c r="G1265" s="11"/>
      <c r="H1265" s="11"/>
    </row>
    <row r="1266" spans="1:8" ht="12.75" hidden="1">
      <c r="A1266" s="11"/>
      <c r="B1266" s="11"/>
      <c r="C1266" s="11"/>
      <c r="D1266" s="24"/>
      <c r="E1266" s="11"/>
      <c r="F1266" s="24"/>
      <c r="G1266" s="11"/>
      <c r="H1266" s="11"/>
    </row>
    <row r="1267" spans="1:8" ht="12.75" hidden="1">
      <c r="A1267" s="11"/>
      <c r="B1267" s="11"/>
      <c r="C1267" s="11"/>
      <c r="D1267" s="24"/>
      <c r="E1267" s="11"/>
      <c r="F1267" s="24"/>
      <c r="G1267" s="11"/>
      <c r="H1267" s="11"/>
    </row>
    <row r="1268" spans="1:8" ht="12.75" hidden="1">
      <c r="A1268" s="11"/>
      <c r="B1268" s="11"/>
      <c r="C1268" s="11"/>
      <c r="D1268" s="24"/>
      <c r="E1268" s="11"/>
      <c r="F1268" s="24"/>
      <c r="G1268" s="11"/>
      <c r="H1268" s="11"/>
    </row>
    <row r="1269" spans="1:8" ht="12.75" hidden="1">
      <c r="A1269" s="11"/>
      <c r="B1269" s="11"/>
      <c r="C1269" s="11"/>
      <c r="D1269" s="24"/>
      <c r="E1269" s="11"/>
      <c r="F1269" s="24"/>
      <c r="G1269" s="11"/>
      <c r="H1269" s="11"/>
    </row>
    <row r="1270" spans="1:8" ht="12.75" hidden="1">
      <c r="A1270" s="11"/>
      <c r="B1270" s="11"/>
      <c r="C1270" s="11"/>
      <c r="D1270" s="24"/>
      <c r="E1270" s="11"/>
      <c r="F1270" s="24"/>
      <c r="G1270" s="11"/>
      <c r="H1270" s="11"/>
    </row>
    <row r="1271" spans="1:8" ht="12.75" hidden="1">
      <c r="A1271" s="11"/>
      <c r="B1271" s="11"/>
      <c r="C1271" s="11"/>
      <c r="D1271" s="24"/>
      <c r="E1271" s="11"/>
      <c r="F1271" s="24"/>
      <c r="G1271" s="11"/>
      <c r="H1271" s="11"/>
    </row>
    <row r="1272" spans="1:8" ht="12.75" hidden="1">
      <c r="A1272" s="11"/>
      <c r="B1272" s="11"/>
      <c r="C1272" s="11"/>
      <c r="D1272" s="24"/>
      <c r="E1272" s="11"/>
      <c r="F1272" s="24"/>
      <c r="G1272" s="11"/>
      <c r="H1272" s="11"/>
    </row>
    <row r="1273" spans="1:8" ht="12.75" hidden="1">
      <c r="A1273" s="11"/>
      <c r="B1273" s="11"/>
      <c r="C1273" s="11"/>
      <c r="D1273" s="24"/>
      <c r="E1273" s="11"/>
      <c r="F1273" s="24"/>
      <c r="G1273" s="11"/>
      <c r="H1273" s="11"/>
    </row>
    <row r="1274" spans="1:8" ht="12.75" hidden="1">
      <c r="A1274" s="11"/>
      <c r="B1274" s="11"/>
      <c r="C1274" s="11"/>
      <c r="D1274" s="24"/>
      <c r="E1274" s="11"/>
      <c r="F1274" s="24"/>
      <c r="G1274" s="11"/>
      <c r="H1274" s="11"/>
    </row>
    <row r="1275" spans="1:8" ht="12.75" hidden="1">
      <c r="A1275" s="11"/>
      <c r="B1275" s="11"/>
      <c r="C1275" s="11"/>
      <c r="D1275" s="24"/>
      <c r="E1275" s="11"/>
      <c r="F1275" s="24"/>
      <c r="G1275" s="11"/>
      <c r="H1275" s="11"/>
    </row>
    <row r="1276" spans="1:8" ht="12.75" hidden="1">
      <c r="A1276" s="11"/>
      <c r="B1276" s="11"/>
      <c r="C1276" s="11"/>
      <c r="D1276" s="24"/>
      <c r="E1276" s="11"/>
      <c r="F1276" s="24"/>
      <c r="G1276" s="11"/>
      <c r="H1276" s="11"/>
    </row>
    <row r="1277" spans="1:8" ht="12.75" hidden="1">
      <c r="A1277" s="11"/>
      <c r="B1277" s="11"/>
      <c r="C1277" s="11"/>
      <c r="D1277" s="24"/>
      <c r="E1277" s="11"/>
      <c r="F1277" s="24"/>
      <c r="G1277" s="11"/>
      <c r="H1277" s="11"/>
    </row>
    <row r="1278" spans="1:8" ht="12.75" hidden="1">
      <c r="A1278" s="11"/>
      <c r="B1278" s="11"/>
      <c r="C1278" s="11"/>
      <c r="D1278" s="24"/>
      <c r="E1278" s="11"/>
      <c r="F1278" s="24"/>
      <c r="G1278" s="11"/>
      <c r="H1278" s="11"/>
    </row>
    <row r="1279" spans="1:8" ht="12.75" hidden="1">
      <c r="A1279" s="11"/>
      <c r="B1279" s="11"/>
      <c r="C1279" s="11"/>
      <c r="D1279" s="24"/>
      <c r="E1279" s="11"/>
      <c r="F1279" s="24"/>
      <c r="G1279" s="11"/>
      <c r="H1279" s="11"/>
    </row>
    <row r="1280" spans="1:8" ht="12.75" hidden="1">
      <c r="A1280" s="11"/>
      <c r="B1280" s="11"/>
      <c r="C1280" s="11"/>
      <c r="D1280" s="24"/>
      <c r="E1280" s="11"/>
      <c r="F1280" s="24"/>
      <c r="G1280" s="11"/>
      <c r="H1280" s="11"/>
    </row>
    <row r="1281" spans="1:8" ht="12.75" hidden="1">
      <c r="A1281" s="11"/>
      <c r="B1281" s="11"/>
      <c r="C1281" s="11"/>
      <c r="D1281" s="24"/>
      <c r="E1281" s="11"/>
      <c r="F1281" s="24"/>
      <c r="G1281" s="11"/>
      <c r="H1281" s="11"/>
    </row>
    <row r="1282" spans="1:8" ht="12.75" hidden="1">
      <c r="A1282" s="11"/>
      <c r="B1282" s="11"/>
      <c r="C1282" s="11"/>
      <c r="D1282" s="24"/>
      <c r="E1282" s="11"/>
      <c r="F1282" s="24"/>
      <c r="G1282" s="11"/>
      <c r="H1282" s="11"/>
    </row>
    <row r="1283" spans="1:8" ht="12.75" hidden="1">
      <c r="A1283" s="11"/>
      <c r="B1283" s="11"/>
      <c r="C1283" s="11"/>
      <c r="D1283" s="24"/>
      <c r="E1283" s="11"/>
      <c r="F1283" s="24"/>
      <c r="G1283" s="11"/>
      <c r="H1283" s="11"/>
    </row>
    <row r="1284" spans="1:8" ht="12.75" hidden="1">
      <c r="A1284" s="11"/>
      <c r="B1284" s="11"/>
      <c r="C1284" s="11"/>
      <c r="D1284" s="24"/>
      <c r="E1284" s="11"/>
      <c r="F1284" s="24"/>
      <c r="G1284" s="11"/>
      <c r="H1284" s="11"/>
    </row>
    <row r="1285" spans="1:8" ht="12.75" hidden="1">
      <c r="A1285" s="11"/>
      <c r="B1285" s="11"/>
      <c r="C1285" s="11"/>
      <c r="D1285" s="24"/>
      <c r="E1285" s="11"/>
      <c r="F1285" s="24"/>
      <c r="G1285" s="11"/>
      <c r="H1285" s="11"/>
    </row>
    <row r="1286" spans="1:8" ht="12.75" hidden="1">
      <c r="A1286" s="11"/>
      <c r="B1286" s="11"/>
      <c r="C1286" s="11"/>
      <c r="D1286" s="24"/>
      <c r="E1286" s="11"/>
      <c r="F1286" s="24"/>
      <c r="G1286" s="11"/>
      <c r="H1286" s="11"/>
    </row>
    <row r="1287" spans="1:8" ht="12.75" hidden="1">
      <c r="A1287" s="11"/>
      <c r="B1287" s="11"/>
      <c r="C1287" s="11"/>
      <c r="D1287" s="24"/>
      <c r="E1287" s="11"/>
      <c r="F1287" s="24"/>
      <c r="G1287" s="11"/>
      <c r="H1287" s="11"/>
    </row>
    <row r="1288" spans="1:8" ht="12.75" hidden="1">
      <c r="A1288" s="11"/>
      <c r="B1288" s="11"/>
      <c r="C1288" s="11"/>
      <c r="D1288" s="24"/>
      <c r="E1288" s="11"/>
      <c r="F1288" s="24"/>
      <c r="G1288" s="11"/>
      <c r="H1288" s="11"/>
    </row>
    <row r="1289" spans="1:8" ht="12.75" hidden="1">
      <c r="A1289" s="11"/>
      <c r="B1289" s="11"/>
      <c r="C1289" s="11"/>
      <c r="D1289" s="24"/>
      <c r="E1289" s="11"/>
      <c r="F1289" s="24"/>
      <c r="G1289" s="11"/>
      <c r="H1289" s="11"/>
    </row>
    <row r="1290" spans="1:8" ht="12.75" hidden="1">
      <c r="A1290" s="11"/>
      <c r="B1290" s="11"/>
      <c r="C1290" s="11"/>
      <c r="D1290" s="24"/>
      <c r="E1290" s="11"/>
      <c r="F1290" s="24"/>
      <c r="G1290" s="11"/>
      <c r="H1290" s="11"/>
    </row>
    <row r="1291" spans="1:8" ht="12.75" hidden="1">
      <c r="A1291" s="11"/>
      <c r="B1291" s="11"/>
      <c r="C1291" s="11"/>
      <c r="D1291" s="24"/>
      <c r="E1291" s="11"/>
      <c r="F1291" s="24"/>
      <c r="G1291" s="11"/>
      <c r="H1291" s="11"/>
    </row>
    <row r="1292" spans="1:8" ht="12.75" hidden="1">
      <c r="A1292" s="11"/>
      <c r="B1292" s="11"/>
      <c r="C1292" s="11"/>
      <c r="D1292" s="24"/>
      <c r="E1292" s="11"/>
      <c r="F1292" s="24"/>
      <c r="G1292" s="11"/>
      <c r="H1292" s="11"/>
    </row>
    <row r="1293" spans="1:8" ht="12.75" hidden="1">
      <c r="A1293" s="11"/>
      <c r="B1293" s="11"/>
      <c r="C1293" s="11"/>
      <c r="D1293" s="24"/>
      <c r="E1293" s="11"/>
      <c r="F1293" s="24"/>
      <c r="G1293" s="11"/>
      <c r="H1293" s="11"/>
    </row>
    <row r="1294" spans="1:8" ht="12.75" hidden="1">
      <c r="A1294" s="11"/>
      <c r="B1294" s="11"/>
      <c r="C1294" s="11"/>
      <c r="D1294" s="24"/>
      <c r="E1294" s="11"/>
      <c r="F1294" s="24"/>
      <c r="G1294" s="11"/>
      <c r="H1294" s="11"/>
    </row>
    <row r="1295" spans="1:8" ht="12.75" hidden="1">
      <c r="A1295" s="11"/>
      <c r="B1295" s="11"/>
      <c r="C1295" s="11"/>
      <c r="D1295" s="24"/>
      <c r="E1295" s="11"/>
      <c r="F1295" s="24"/>
      <c r="G1295" s="11"/>
      <c r="H1295" s="11"/>
    </row>
    <row r="1296" spans="1:8" ht="12.75" hidden="1">
      <c r="A1296" s="11"/>
      <c r="B1296" s="11"/>
      <c r="C1296" s="11"/>
      <c r="D1296" s="24"/>
      <c r="E1296" s="11"/>
      <c r="F1296" s="24"/>
      <c r="G1296" s="11"/>
      <c r="H1296" s="11"/>
    </row>
    <row r="1297" spans="1:8" ht="12.75" hidden="1">
      <c r="A1297" s="11"/>
      <c r="B1297" s="11"/>
      <c r="C1297" s="11"/>
      <c r="D1297" s="24"/>
      <c r="E1297" s="11"/>
      <c r="F1297" s="24"/>
      <c r="G1297" s="11"/>
      <c r="H1297" s="11"/>
    </row>
    <row r="1298" spans="1:8" ht="12.75" hidden="1">
      <c r="A1298" s="11"/>
      <c r="B1298" s="11"/>
      <c r="C1298" s="11"/>
      <c r="D1298" s="24"/>
      <c r="E1298" s="11"/>
      <c r="F1298" s="24"/>
      <c r="G1298" s="11"/>
      <c r="H1298" s="11"/>
    </row>
    <row r="1299" spans="1:8" ht="12.75" hidden="1">
      <c r="A1299" s="11"/>
      <c r="B1299" s="11"/>
      <c r="C1299" s="11"/>
      <c r="D1299" s="24"/>
      <c r="E1299" s="11"/>
      <c r="F1299" s="24"/>
      <c r="G1299" s="11"/>
      <c r="H1299" s="11"/>
    </row>
    <row r="1300" spans="1:8" ht="12.75" hidden="1">
      <c r="A1300" s="11"/>
      <c r="B1300" s="11"/>
      <c r="C1300" s="11"/>
      <c r="D1300" s="24"/>
      <c r="E1300" s="11"/>
      <c r="F1300" s="24"/>
      <c r="G1300" s="11"/>
      <c r="H1300" s="11"/>
    </row>
    <row r="1301" spans="1:8" ht="12.75" hidden="1">
      <c r="A1301" s="11"/>
      <c r="B1301" s="11"/>
      <c r="C1301" s="11"/>
      <c r="D1301" s="24"/>
      <c r="E1301" s="11"/>
      <c r="F1301" s="24"/>
      <c r="G1301" s="11"/>
      <c r="H1301" s="11"/>
    </row>
    <row r="1302" spans="1:8" ht="12.75" hidden="1">
      <c r="A1302" s="11"/>
      <c r="B1302" s="11"/>
      <c r="C1302" s="11"/>
      <c r="D1302" s="24"/>
      <c r="E1302" s="11"/>
      <c r="F1302" s="24"/>
      <c r="G1302" s="11"/>
      <c r="H1302" s="11"/>
    </row>
    <row r="1303" spans="1:8" ht="12.75" hidden="1">
      <c r="A1303" s="11"/>
      <c r="B1303" s="11"/>
      <c r="C1303" s="11"/>
      <c r="D1303" s="24"/>
      <c r="E1303" s="11"/>
      <c r="F1303" s="24"/>
      <c r="G1303" s="11"/>
      <c r="H1303" s="11"/>
    </row>
    <row r="1304" spans="1:8" ht="12.75" hidden="1">
      <c r="A1304" s="11"/>
      <c r="B1304" s="11"/>
      <c r="C1304" s="11"/>
      <c r="D1304" s="24"/>
      <c r="E1304" s="11"/>
      <c r="F1304" s="24"/>
      <c r="G1304" s="11"/>
      <c r="H1304" s="11"/>
    </row>
    <row r="1305" spans="1:8" ht="12.75" hidden="1">
      <c r="A1305" s="11"/>
      <c r="B1305" s="11"/>
      <c r="C1305" s="11"/>
      <c r="D1305" s="24"/>
      <c r="E1305" s="11"/>
      <c r="F1305" s="24"/>
      <c r="G1305" s="11"/>
      <c r="H1305" s="11"/>
    </row>
    <row r="1306" spans="1:8" ht="12.75" hidden="1">
      <c r="A1306" s="11"/>
      <c r="B1306" s="11"/>
      <c r="C1306" s="11"/>
      <c r="D1306" s="24"/>
      <c r="E1306" s="11"/>
      <c r="F1306" s="24"/>
      <c r="G1306" s="11"/>
      <c r="H1306" s="11"/>
    </row>
    <row r="1307" spans="1:8" ht="12.75" hidden="1">
      <c r="A1307" s="11"/>
      <c r="B1307" s="11"/>
      <c r="C1307" s="11"/>
      <c r="D1307" s="24"/>
      <c r="E1307" s="11"/>
      <c r="F1307" s="24"/>
      <c r="G1307" s="11"/>
      <c r="H1307" s="11"/>
    </row>
    <row r="1308" spans="1:8" ht="12.75" hidden="1">
      <c r="A1308" s="11"/>
      <c r="B1308" s="11"/>
      <c r="C1308" s="11"/>
      <c r="D1308" s="24"/>
      <c r="E1308" s="11"/>
      <c r="F1308" s="24"/>
      <c r="G1308" s="11"/>
      <c r="H1308" s="11"/>
    </row>
    <row r="1309" spans="1:8" ht="12.75" hidden="1">
      <c r="A1309" s="11"/>
      <c r="B1309" s="11"/>
      <c r="C1309" s="11"/>
      <c r="D1309" s="24"/>
      <c r="E1309" s="11"/>
      <c r="F1309" s="24"/>
      <c r="G1309" s="11"/>
      <c r="H1309" s="11"/>
    </row>
    <row r="1310" spans="1:8" ht="12.75" hidden="1">
      <c r="A1310" s="11"/>
      <c r="B1310" s="11"/>
      <c r="C1310" s="11"/>
      <c r="D1310" s="24"/>
      <c r="E1310" s="11"/>
      <c r="F1310" s="24"/>
      <c r="G1310" s="11"/>
      <c r="H1310" s="11"/>
    </row>
    <row r="1311" spans="1:8" ht="12.75" hidden="1">
      <c r="A1311" s="11"/>
      <c r="B1311" s="11"/>
      <c r="C1311" s="11"/>
      <c r="D1311" s="24"/>
      <c r="E1311" s="11"/>
      <c r="F1311" s="24"/>
      <c r="G1311" s="11"/>
      <c r="H1311" s="11"/>
    </row>
    <row r="1312" spans="1:8" ht="12.75" hidden="1">
      <c r="A1312" s="11"/>
      <c r="B1312" s="11"/>
      <c r="C1312" s="11"/>
      <c r="D1312" s="24"/>
      <c r="E1312" s="11"/>
      <c r="F1312" s="24"/>
      <c r="G1312" s="11"/>
      <c r="H1312" s="11"/>
    </row>
    <row r="1313" spans="1:8" ht="12.75" hidden="1">
      <c r="A1313" s="11"/>
      <c r="B1313" s="11"/>
      <c r="C1313" s="11"/>
      <c r="D1313" s="24"/>
      <c r="E1313" s="11"/>
      <c r="F1313" s="24"/>
      <c r="G1313" s="11"/>
      <c r="H1313" s="11"/>
    </row>
    <row r="1314" spans="1:8" ht="12.75" hidden="1">
      <c r="A1314" s="11"/>
      <c r="B1314" s="11"/>
      <c r="C1314" s="11"/>
      <c r="D1314" s="24"/>
      <c r="E1314" s="11"/>
      <c r="F1314" s="24"/>
      <c r="G1314" s="11"/>
      <c r="H1314" s="11"/>
    </row>
    <row r="1315" spans="1:8" ht="12.75" hidden="1">
      <c r="A1315" s="11"/>
      <c r="B1315" s="11"/>
      <c r="C1315" s="11"/>
      <c r="D1315" s="24"/>
      <c r="E1315" s="11"/>
      <c r="F1315" s="24"/>
      <c r="G1315" s="11"/>
      <c r="H1315" s="11"/>
    </row>
    <row r="1316" spans="1:8" ht="12.75" hidden="1">
      <c r="A1316" s="11"/>
      <c r="B1316" s="11"/>
      <c r="C1316" s="11"/>
      <c r="D1316" s="24"/>
      <c r="E1316" s="11"/>
      <c r="F1316" s="24"/>
      <c r="G1316" s="11"/>
      <c r="H1316" s="11"/>
    </row>
    <row r="1317" spans="1:8" ht="12.75" hidden="1">
      <c r="A1317" s="11"/>
      <c r="B1317" s="11"/>
      <c r="C1317" s="11"/>
      <c r="D1317" s="24"/>
      <c r="E1317" s="11"/>
      <c r="F1317" s="24"/>
      <c r="G1317" s="11"/>
      <c r="H1317" s="11"/>
    </row>
    <row r="1318" spans="1:8" ht="12.75" hidden="1">
      <c r="A1318" s="11"/>
      <c r="B1318" s="11"/>
      <c r="C1318" s="11"/>
      <c r="D1318" s="24"/>
      <c r="E1318" s="11"/>
      <c r="F1318" s="24"/>
      <c r="G1318" s="11"/>
      <c r="H1318" s="11"/>
    </row>
    <row r="1319" spans="1:8" ht="12.75" hidden="1">
      <c r="A1319" s="11"/>
      <c r="B1319" s="11"/>
      <c r="C1319" s="11"/>
      <c r="D1319" s="24"/>
      <c r="E1319" s="11"/>
      <c r="F1319" s="24"/>
      <c r="G1319" s="11"/>
      <c r="H1319" s="11"/>
    </row>
    <row r="1320" spans="1:8" ht="12.75" hidden="1">
      <c r="A1320" s="11"/>
      <c r="B1320" s="11"/>
      <c r="C1320" s="11"/>
      <c r="D1320" s="24"/>
      <c r="E1320" s="11"/>
      <c r="F1320" s="24"/>
      <c r="G1320" s="11"/>
      <c r="H1320" s="11"/>
    </row>
    <row r="1321" spans="1:8" ht="12.75" hidden="1">
      <c r="A1321" s="11"/>
      <c r="B1321" s="11"/>
      <c r="C1321" s="11"/>
      <c r="D1321" s="24"/>
      <c r="E1321" s="11"/>
      <c r="F1321" s="24"/>
      <c r="G1321" s="11"/>
      <c r="H1321" s="11"/>
    </row>
    <row r="1322" spans="1:8" ht="12.75" hidden="1">
      <c r="A1322" s="11"/>
      <c r="B1322" s="11"/>
      <c r="C1322" s="11"/>
      <c r="D1322" s="24"/>
      <c r="E1322" s="11"/>
      <c r="F1322" s="24"/>
      <c r="G1322" s="11"/>
      <c r="H1322" s="11"/>
    </row>
    <row r="1323" spans="1:8" ht="12.75" hidden="1">
      <c r="A1323" s="11"/>
      <c r="B1323" s="11"/>
      <c r="C1323" s="11"/>
      <c r="D1323" s="24"/>
      <c r="E1323" s="11"/>
      <c r="F1323" s="24"/>
      <c r="G1323" s="11"/>
      <c r="H1323" s="11"/>
    </row>
    <row r="1324" spans="1:8" ht="12.75" hidden="1">
      <c r="A1324" s="11"/>
      <c r="B1324" s="11"/>
      <c r="C1324" s="11"/>
      <c r="D1324" s="24"/>
      <c r="E1324" s="11"/>
      <c r="F1324" s="24"/>
      <c r="G1324" s="11"/>
      <c r="H1324" s="11"/>
    </row>
    <row r="1325" spans="1:8" ht="12.75" hidden="1">
      <c r="A1325" s="11"/>
      <c r="B1325" s="11"/>
      <c r="C1325" s="11"/>
      <c r="D1325" s="24"/>
      <c r="E1325" s="11"/>
      <c r="F1325" s="24"/>
      <c r="G1325" s="11"/>
      <c r="H1325" s="11"/>
    </row>
    <row r="1326" spans="1:8" ht="12.75" hidden="1">
      <c r="A1326" s="11"/>
      <c r="B1326" s="11"/>
      <c r="C1326" s="11"/>
      <c r="D1326" s="24"/>
      <c r="E1326" s="11"/>
      <c r="F1326" s="24"/>
      <c r="G1326" s="11"/>
      <c r="H1326" s="11"/>
    </row>
    <row r="1327" spans="1:8" ht="12.75" hidden="1">
      <c r="A1327" s="11"/>
      <c r="B1327" s="11"/>
      <c r="C1327" s="11"/>
      <c r="D1327" s="24"/>
      <c r="E1327" s="11"/>
      <c r="F1327" s="24"/>
      <c r="G1327" s="11"/>
      <c r="H1327" s="11"/>
    </row>
    <row r="1328" spans="1:8" ht="12.75" hidden="1">
      <c r="A1328" s="11"/>
      <c r="B1328" s="11"/>
      <c r="C1328" s="11"/>
      <c r="D1328" s="24"/>
      <c r="E1328" s="11"/>
      <c r="F1328" s="24"/>
      <c r="G1328" s="11"/>
      <c r="H1328" s="11"/>
    </row>
    <row r="1329" spans="1:8" ht="12.75" hidden="1">
      <c r="A1329" s="11"/>
      <c r="B1329" s="11"/>
      <c r="C1329" s="11"/>
      <c r="D1329" s="24"/>
      <c r="E1329" s="11"/>
      <c r="F1329" s="24"/>
      <c r="G1329" s="11"/>
      <c r="H1329" s="11"/>
    </row>
    <row r="1330" spans="1:8" ht="12.75" hidden="1">
      <c r="A1330" s="11"/>
      <c r="B1330" s="11"/>
      <c r="C1330" s="11"/>
      <c r="D1330" s="24"/>
      <c r="E1330" s="11"/>
      <c r="F1330" s="24"/>
      <c r="G1330" s="11"/>
      <c r="H1330" s="11"/>
    </row>
    <row r="1331" spans="1:8" ht="12.75" hidden="1">
      <c r="A1331" s="11"/>
      <c r="B1331" s="11"/>
      <c r="C1331" s="11"/>
      <c r="D1331" s="24"/>
      <c r="E1331" s="11"/>
      <c r="F1331" s="24"/>
      <c r="G1331" s="11"/>
      <c r="H1331" s="11"/>
    </row>
    <row r="1332" spans="1:8" ht="12.75" hidden="1">
      <c r="A1332" s="11"/>
      <c r="B1332" s="11"/>
      <c r="C1332" s="11"/>
      <c r="D1332" s="24"/>
      <c r="E1332" s="11"/>
      <c r="F1332" s="24"/>
      <c r="G1332" s="11"/>
      <c r="H1332" s="11"/>
    </row>
    <row r="1333" spans="1:8" ht="12.75" hidden="1">
      <c r="A1333" s="11"/>
      <c r="B1333" s="11"/>
      <c r="C1333" s="11"/>
      <c r="D1333" s="24"/>
      <c r="E1333" s="11"/>
      <c r="F1333" s="24"/>
      <c r="G1333" s="11"/>
      <c r="H1333" s="11"/>
    </row>
    <row r="1334" spans="1:8" ht="12.75" hidden="1">
      <c r="A1334" s="11"/>
      <c r="B1334" s="11"/>
      <c r="C1334" s="11"/>
      <c r="D1334" s="24"/>
      <c r="E1334" s="11"/>
      <c r="F1334" s="24"/>
      <c r="G1334" s="11"/>
      <c r="H1334" s="11"/>
    </row>
    <row r="1335" spans="1:8" ht="12.75" hidden="1">
      <c r="A1335" s="11"/>
      <c r="B1335" s="11"/>
      <c r="C1335" s="11"/>
      <c r="D1335" s="24"/>
      <c r="E1335" s="11"/>
      <c r="F1335" s="24"/>
      <c r="G1335" s="11"/>
      <c r="H1335" s="11"/>
    </row>
    <row r="1336" spans="1:8" ht="12.75" hidden="1">
      <c r="A1336" s="11"/>
      <c r="B1336" s="11"/>
      <c r="C1336" s="11"/>
      <c r="D1336" s="24"/>
      <c r="E1336" s="11"/>
      <c r="F1336" s="24"/>
      <c r="G1336" s="11"/>
      <c r="H1336" s="11"/>
    </row>
    <row r="1337" spans="1:8" ht="12.75" hidden="1">
      <c r="A1337" s="11"/>
      <c r="B1337" s="11"/>
      <c r="C1337" s="11"/>
      <c r="D1337" s="24"/>
      <c r="E1337" s="11"/>
      <c r="F1337" s="24"/>
      <c r="G1337" s="11"/>
      <c r="H1337" s="11"/>
    </row>
    <row r="1338" spans="1:8" ht="12.75" hidden="1">
      <c r="A1338" s="11"/>
      <c r="B1338" s="11"/>
      <c r="C1338" s="11"/>
      <c r="D1338" s="24"/>
      <c r="E1338" s="11"/>
      <c r="F1338" s="24"/>
      <c r="G1338" s="11"/>
      <c r="H1338" s="11"/>
    </row>
    <row r="1339" spans="1:8" ht="12.75" hidden="1">
      <c r="A1339" s="11"/>
      <c r="B1339" s="11"/>
      <c r="C1339" s="11"/>
      <c r="D1339" s="24"/>
      <c r="E1339" s="11"/>
      <c r="F1339" s="24"/>
      <c r="G1339" s="11"/>
      <c r="H1339" s="11"/>
    </row>
    <row r="1340" spans="1:8" ht="12.75" hidden="1">
      <c r="A1340" s="11"/>
      <c r="B1340" s="11"/>
      <c r="C1340" s="11"/>
      <c r="D1340" s="24"/>
      <c r="E1340" s="11"/>
      <c r="F1340" s="24"/>
      <c r="G1340" s="11"/>
      <c r="H1340" s="11"/>
    </row>
    <row r="1341" spans="1:8" ht="12.75" hidden="1">
      <c r="A1341" s="11"/>
      <c r="B1341" s="11"/>
      <c r="C1341" s="11"/>
      <c r="D1341" s="24"/>
      <c r="E1341" s="11"/>
      <c r="F1341" s="24"/>
      <c r="G1341" s="11"/>
      <c r="H1341" s="11"/>
    </row>
    <row r="1342" spans="1:8" ht="12.75" hidden="1">
      <c r="A1342" s="11"/>
      <c r="B1342" s="11"/>
      <c r="C1342" s="11"/>
      <c r="D1342" s="24"/>
      <c r="E1342" s="11"/>
      <c r="F1342" s="24"/>
      <c r="G1342" s="11"/>
      <c r="H1342" s="11"/>
    </row>
    <row r="1343" spans="1:8" ht="12.75" hidden="1">
      <c r="A1343" s="11"/>
      <c r="B1343" s="11"/>
      <c r="C1343" s="11"/>
      <c r="D1343" s="24"/>
      <c r="E1343" s="11"/>
      <c r="F1343" s="24"/>
      <c r="G1343" s="11"/>
      <c r="H1343" s="11"/>
    </row>
    <row r="1344" spans="1:8" ht="12.75" hidden="1">
      <c r="A1344" s="11"/>
      <c r="B1344" s="11"/>
      <c r="C1344" s="11"/>
      <c r="D1344" s="24"/>
      <c r="E1344" s="11"/>
      <c r="F1344" s="24"/>
      <c r="G1344" s="11"/>
      <c r="H1344" s="11"/>
    </row>
    <row r="1345" spans="1:8" ht="12.75" hidden="1">
      <c r="A1345" s="11"/>
      <c r="B1345" s="11"/>
      <c r="C1345" s="11"/>
      <c r="D1345" s="24"/>
      <c r="E1345" s="11"/>
      <c r="F1345" s="24"/>
      <c r="G1345" s="11"/>
      <c r="H1345" s="11"/>
    </row>
    <row r="1346" spans="1:8" ht="12.75" hidden="1">
      <c r="A1346" s="11"/>
      <c r="B1346" s="11"/>
      <c r="C1346" s="11"/>
      <c r="D1346" s="24"/>
      <c r="E1346" s="11"/>
      <c r="F1346" s="24"/>
      <c r="G1346" s="11"/>
      <c r="H1346" s="11"/>
    </row>
    <row r="1347" spans="1:8" ht="12.75" hidden="1">
      <c r="A1347" s="11"/>
      <c r="B1347" s="11"/>
      <c r="C1347" s="11"/>
      <c r="D1347" s="24"/>
      <c r="E1347" s="11"/>
      <c r="F1347" s="24"/>
      <c r="G1347" s="11"/>
      <c r="H1347" s="11"/>
    </row>
    <row r="1348" spans="1:8" ht="12.75" hidden="1">
      <c r="A1348" s="11"/>
      <c r="B1348" s="11"/>
      <c r="C1348" s="11"/>
      <c r="D1348" s="24"/>
      <c r="E1348" s="11"/>
      <c r="F1348" s="24"/>
      <c r="G1348" s="11"/>
      <c r="H1348" s="11"/>
    </row>
    <row r="1349" spans="1:8" ht="12.75" hidden="1">
      <c r="A1349" s="11"/>
      <c r="B1349" s="11"/>
      <c r="C1349" s="11"/>
      <c r="D1349" s="24"/>
      <c r="E1349" s="11"/>
      <c r="F1349" s="24"/>
      <c r="G1349" s="11"/>
      <c r="H1349" s="11"/>
    </row>
    <row r="1350" spans="1:8" ht="12.75" hidden="1">
      <c r="A1350" s="11"/>
      <c r="B1350" s="11"/>
      <c r="C1350" s="11"/>
      <c r="D1350" s="24"/>
      <c r="E1350" s="11"/>
      <c r="F1350" s="24"/>
      <c r="G1350" s="11"/>
      <c r="H1350" s="11"/>
    </row>
    <row r="1351" spans="1:8" ht="12.75" hidden="1">
      <c r="A1351" s="11"/>
      <c r="B1351" s="11"/>
      <c r="C1351" s="11"/>
      <c r="D1351" s="24"/>
      <c r="E1351" s="11"/>
      <c r="F1351" s="24"/>
      <c r="G1351" s="11"/>
      <c r="H1351" s="11"/>
    </row>
    <row r="1352" spans="1:8" ht="12.75" hidden="1">
      <c r="A1352" s="11"/>
      <c r="B1352" s="11"/>
      <c r="C1352" s="11"/>
      <c r="D1352" s="24"/>
      <c r="E1352" s="11"/>
      <c r="F1352" s="24"/>
      <c r="G1352" s="11"/>
      <c r="H1352" s="11"/>
    </row>
    <row r="1353" spans="1:8" ht="12.75" hidden="1">
      <c r="A1353" s="11"/>
      <c r="B1353" s="11"/>
      <c r="C1353" s="11"/>
      <c r="D1353" s="24"/>
      <c r="E1353" s="11"/>
      <c r="F1353" s="24"/>
      <c r="G1353" s="11"/>
      <c r="H1353" s="11"/>
    </row>
    <row r="1354" spans="1:8" ht="12.75" hidden="1">
      <c r="A1354" s="11"/>
      <c r="B1354" s="11"/>
      <c r="C1354" s="11"/>
      <c r="D1354" s="24"/>
      <c r="E1354" s="11"/>
      <c r="F1354" s="24"/>
      <c r="G1354" s="11"/>
      <c r="H1354" s="11"/>
    </row>
    <row r="1355" spans="1:8" ht="12.75" hidden="1">
      <c r="A1355" s="11"/>
      <c r="B1355" s="11"/>
      <c r="C1355" s="11"/>
      <c r="D1355" s="24"/>
      <c r="E1355" s="11"/>
      <c r="F1355" s="24"/>
      <c r="G1355" s="11"/>
      <c r="H1355" s="11"/>
    </row>
    <row r="1356" spans="1:8" ht="12.75" hidden="1">
      <c r="A1356" s="11"/>
      <c r="B1356" s="11"/>
      <c r="C1356" s="11"/>
      <c r="D1356" s="24"/>
      <c r="E1356" s="11"/>
      <c r="F1356" s="24"/>
      <c r="G1356" s="11"/>
      <c r="H1356" s="11"/>
    </row>
    <row r="1357" spans="1:8" ht="12.75" hidden="1">
      <c r="A1357" s="11"/>
      <c r="B1357" s="11"/>
      <c r="C1357" s="11"/>
      <c r="D1357" s="24"/>
      <c r="E1357" s="11"/>
      <c r="F1357" s="24"/>
      <c r="G1357" s="11"/>
      <c r="H1357" s="11"/>
    </row>
    <row r="1358" spans="1:8" ht="12.75" hidden="1">
      <c r="A1358" s="11"/>
      <c r="B1358" s="11"/>
      <c r="C1358" s="11"/>
      <c r="D1358" s="24"/>
      <c r="E1358" s="11"/>
      <c r="F1358" s="24"/>
      <c r="G1358" s="11"/>
      <c r="H1358" s="11"/>
    </row>
    <row r="1359" spans="1:8" ht="12.75" hidden="1">
      <c r="A1359" s="11"/>
      <c r="B1359" s="11"/>
      <c r="C1359" s="11"/>
      <c r="D1359" s="24"/>
      <c r="E1359" s="11"/>
      <c r="F1359" s="24"/>
      <c r="G1359" s="11"/>
      <c r="H1359" s="11"/>
    </row>
    <row r="1360" spans="1:8" ht="12.75" hidden="1">
      <c r="A1360" s="11"/>
      <c r="B1360" s="11"/>
      <c r="C1360" s="11"/>
      <c r="D1360" s="24"/>
      <c r="E1360" s="11"/>
      <c r="F1360" s="24"/>
      <c r="G1360" s="11"/>
      <c r="H1360" s="11"/>
    </row>
    <row r="1361" spans="1:8" ht="12.75" hidden="1">
      <c r="A1361" s="11"/>
      <c r="B1361" s="11"/>
      <c r="C1361" s="11"/>
      <c r="D1361" s="24"/>
      <c r="E1361" s="11"/>
      <c r="F1361" s="24"/>
      <c r="G1361" s="11"/>
      <c r="H1361" s="11"/>
    </row>
    <row r="1362" spans="1:8" ht="12.75" hidden="1">
      <c r="A1362" s="11"/>
      <c r="B1362" s="11"/>
      <c r="C1362" s="11"/>
      <c r="D1362" s="24"/>
      <c r="E1362" s="11"/>
      <c r="F1362" s="24"/>
      <c r="G1362" s="11"/>
      <c r="H1362" s="11"/>
    </row>
    <row r="1363" spans="1:8" ht="12.75" hidden="1">
      <c r="A1363" s="11"/>
      <c r="B1363" s="11"/>
      <c r="C1363" s="11"/>
      <c r="D1363" s="24"/>
      <c r="E1363" s="11"/>
      <c r="F1363" s="24"/>
      <c r="G1363" s="11"/>
      <c r="H1363" s="11"/>
    </row>
    <row r="1364" spans="1:8" ht="12.75" hidden="1">
      <c r="A1364" s="11"/>
      <c r="B1364" s="11"/>
      <c r="C1364" s="11"/>
      <c r="D1364" s="24"/>
      <c r="E1364" s="11"/>
      <c r="F1364" s="24"/>
      <c r="G1364" s="11"/>
      <c r="H1364" s="11"/>
    </row>
    <row r="1365" spans="1:8" ht="12.75" hidden="1">
      <c r="A1365" s="11"/>
      <c r="B1365" s="11"/>
      <c r="C1365" s="11"/>
      <c r="D1365" s="24"/>
      <c r="E1365" s="11"/>
      <c r="F1365" s="24"/>
      <c r="G1365" s="11"/>
      <c r="H1365" s="11"/>
    </row>
    <row r="1366" spans="1:8" ht="12.75" hidden="1">
      <c r="A1366" s="11"/>
      <c r="B1366" s="11"/>
      <c r="C1366" s="11"/>
      <c r="D1366" s="24"/>
      <c r="E1366" s="11"/>
      <c r="F1366" s="24"/>
      <c r="G1366" s="11"/>
      <c r="H1366" s="11"/>
    </row>
    <row r="1367" spans="1:8" ht="12.75" hidden="1">
      <c r="A1367" s="11"/>
      <c r="B1367" s="11"/>
      <c r="C1367" s="11"/>
      <c r="D1367" s="24"/>
      <c r="E1367" s="11"/>
      <c r="F1367" s="24"/>
      <c r="G1367" s="11"/>
      <c r="H1367" s="11"/>
    </row>
    <row r="1368" spans="1:8" ht="12.75" hidden="1">
      <c r="A1368" s="11"/>
      <c r="B1368" s="11"/>
      <c r="C1368" s="11"/>
      <c r="D1368" s="24"/>
      <c r="E1368" s="11"/>
      <c r="F1368" s="24"/>
      <c r="G1368" s="11"/>
      <c r="H1368" s="11"/>
    </row>
    <row r="1369" spans="1:8" ht="12.75" hidden="1">
      <c r="A1369" s="11"/>
      <c r="B1369" s="11"/>
      <c r="C1369" s="11"/>
      <c r="D1369" s="24"/>
      <c r="E1369" s="11"/>
      <c r="F1369" s="24"/>
      <c r="G1369" s="11"/>
      <c r="H1369" s="11"/>
    </row>
    <row r="1370" spans="1:8" ht="12.75" hidden="1">
      <c r="A1370" s="11"/>
      <c r="B1370" s="11"/>
      <c r="C1370" s="11"/>
      <c r="D1370" s="24"/>
      <c r="E1370" s="11"/>
      <c r="F1370" s="24"/>
      <c r="G1370" s="11"/>
      <c r="H1370" s="11"/>
    </row>
    <row r="1371" spans="1:8" ht="12.75" hidden="1">
      <c r="A1371" s="11"/>
      <c r="B1371" s="11"/>
      <c r="C1371" s="11"/>
      <c r="D1371" s="24"/>
      <c r="E1371" s="11"/>
      <c r="F1371" s="24"/>
      <c r="G1371" s="11"/>
      <c r="H1371" s="11"/>
    </row>
    <row r="1372" spans="1:8" ht="12.75" hidden="1">
      <c r="A1372" s="11"/>
      <c r="B1372" s="11"/>
      <c r="C1372" s="11"/>
      <c r="D1372" s="24"/>
      <c r="E1372" s="11"/>
      <c r="F1372" s="24"/>
      <c r="G1372" s="11"/>
      <c r="H1372" s="11"/>
    </row>
    <row r="1373" spans="1:8" ht="12.75" hidden="1">
      <c r="A1373" s="11"/>
      <c r="B1373" s="11"/>
      <c r="C1373" s="11"/>
      <c r="D1373" s="24"/>
      <c r="E1373" s="11"/>
      <c r="F1373" s="24"/>
      <c r="G1373" s="11"/>
      <c r="H1373" s="11"/>
    </row>
    <row r="1374" spans="1:8" ht="12.75" hidden="1">
      <c r="A1374" s="11"/>
      <c r="B1374" s="11"/>
      <c r="C1374" s="11"/>
      <c r="D1374" s="24"/>
      <c r="E1374" s="11"/>
      <c r="F1374" s="24"/>
      <c r="G1374" s="11"/>
      <c r="H1374" s="11"/>
    </row>
    <row r="1375" spans="1:8" ht="12.75" hidden="1">
      <c r="A1375" s="11"/>
      <c r="B1375" s="11"/>
      <c r="C1375" s="11"/>
      <c r="D1375" s="24"/>
      <c r="E1375" s="11"/>
      <c r="F1375" s="24"/>
      <c r="G1375" s="11"/>
      <c r="H1375" s="11"/>
    </row>
    <row r="1376" spans="1:8" ht="12.75" hidden="1">
      <c r="A1376" s="11"/>
      <c r="B1376" s="11"/>
      <c r="C1376" s="11"/>
      <c r="D1376" s="24"/>
      <c r="E1376" s="11"/>
      <c r="F1376" s="24"/>
      <c r="G1376" s="11"/>
      <c r="H1376" s="11"/>
    </row>
    <row r="1377" spans="1:8" ht="12.75" hidden="1">
      <c r="A1377" s="11"/>
      <c r="B1377" s="11"/>
      <c r="C1377" s="11"/>
      <c r="D1377" s="24"/>
      <c r="E1377" s="11"/>
      <c r="F1377" s="24"/>
      <c r="G1377" s="11"/>
      <c r="H1377" s="11"/>
    </row>
    <row r="1378" spans="1:8" ht="12.75" hidden="1">
      <c r="A1378" s="11"/>
      <c r="B1378" s="11"/>
      <c r="C1378" s="11"/>
      <c r="D1378" s="24"/>
      <c r="E1378" s="11"/>
      <c r="F1378" s="24"/>
      <c r="G1378" s="11"/>
      <c r="H1378" s="11"/>
    </row>
    <row r="1379" spans="1:8" ht="12.75" hidden="1">
      <c r="A1379" s="11"/>
      <c r="B1379" s="11"/>
      <c r="C1379" s="11"/>
      <c r="D1379" s="24"/>
      <c r="E1379" s="11"/>
      <c r="F1379" s="24"/>
      <c r="G1379" s="11"/>
      <c r="H1379" s="11"/>
    </row>
    <row r="1380" spans="1:8" ht="12.75" hidden="1">
      <c r="A1380" s="11"/>
      <c r="B1380" s="11"/>
      <c r="C1380" s="11"/>
      <c r="D1380" s="24"/>
      <c r="E1380" s="11"/>
      <c r="F1380" s="24"/>
      <c r="G1380" s="11"/>
      <c r="H1380" s="11"/>
    </row>
    <row r="1381" spans="1:8" ht="12.75" hidden="1">
      <c r="A1381" s="11"/>
      <c r="B1381" s="11"/>
      <c r="C1381" s="11"/>
      <c r="D1381" s="24"/>
      <c r="E1381" s="11"/>
      <c r="F1381" s="24"/>
      <c r="G1381" s="11"/>
      <c r="H1381" s="11"/>
    </row>
    <row r="1382" spans="1:8" ht="12.75" hidden="1">
      <c r="A1382" s="11"/>
      <c r="B1382" s="11"/>
      <c r="C1382" s="11"/>
      <c r="D1382" s="24"/>
      <c r="E1382" s="11"/>
      <c r="F1382" s="24"/>
      <c r="G1382" s="11"/>
      <c r="H1382" s="11"/>
    </row>
    <row r="1383" spans="1:8" ht="12.75" hidden="1">
      <c r="A1383" s="11"/>
      <c r="B1383" s="11"/>
      <c r="C1383" s="11"/>
      <c r="D1383" s="24"/>
      <c r="E1383" s="11"/>
      <c r="F1383" s="24"/>
      <c r="G1383" s="11"/>
      <c r="H1383" s="11"/>
    </row>
    <row r="1384" spans="1:8" ht="12.75" hidden="1">
      <c r="A1384" s="11"/>
      <c r="B1384" s="11"/>
      <c r="C1384" s="11"/>
      <c r="D1384" s="24"/>
      <c r="E1384" s="11"/>
      <c r="F1384" s="24"/>
      <c r="G1384" s="11"/>
      <c r="H1384" s="11"/>
    </row>
    <row r="1385" spans="1:8" ht="12.75" hidden="1">
      <c r="A1385" s="11"/>
      <c r="B1385" s="11"/>
      <c r="C1385" s="11"/>
      <c r="D1385" s="24"/>
      <c r="E1385" s="11"/>
      <c r="F1385" s="24"/>
      <c r="G1385" s="11"/>
      <c r="H1385" s="11"/>
    </row>
    <row r="1386" spans="1:8" ht="12.75" hidden="1">
      <c r="A1386" s="11"/>
      <c r="B1386" s="11"/>
      <c r="C1386" s="11"/>
      <c r="D1386" s="24"/>
      <c r="E1386" s="11"/>
      <c r="F1386" s="24"/>
      <c r="G1386" s="11"/>
      <c r="H1386" s="11"/>
    </row>
    <row r="1387" spans="1:8" ht="12.75" hidden="1">
      <c r="A1387" s="11"/>
      <c r="B1387" s="11"/>
      <c r="C1387" s="11"/>
      <c r="D1387" s="24"/>
      <c r="E1387" s="11"/>
      <c r="F1387" s="24"/>
      <c r="G1387" s="11"/>
      <c r="H1387" s="11"/>
    </row>
    <row r="1388" spans="1:8" ht="12.75" hidden="1">
      <c r="A1388" s="11"/>
      <c r="B1388" s="11"/>
      <c r="C1388" s="11"/>
      <c r="D1388" s="24"/>
      <c r="E1388" s="11"/>
      <c r="F1388" s="24"/>
      <c r="G1388" s="11"/>
      <c r="H1388" s="11"/>
    </row>
    <row r="1389" spans="1:8" ht="12.75" hidden="1">
      <c r="A1389" s="11"/>
      <c r="B1389" s="11"/>
      <c r="C1389" s="11"/>
      <c r="D1389" s="24"/>
      <c r="E1389" s="11"/>
      <c r="F1389" s="24"/>
      <c r="G1389" s="11"/>
      <c r="H1389" s="11"/>
    </row>
    <row r="1390" spans="1:8" ht="12.75" hidden="1">
      <c r="A1390" s="11"/>
      <c r="B1390" s="11"/>
      <c r="C1390" s="11"/>
      <c r="D1390" s="24"/>
      <c r="E1390" s="11"/>
      <c r="F1390" s="24"/>
      <c r="G1390" s="11"/>
      <c r="H1390" s="11"/>
    </row>
    <row r="1391" spans="1:8" ht="12.75" hidden="1">
      <c r="A1391" s="11"/>
      <c r="B1391" s="11"/>
      <c r="C1391" s="11"/>
      <c r="D1391" s="24"/>
      <c r="E1391" s="11"/>
      <c r="F1391" s="24"/>
      <c r="G1391" s="11"/>
      <c r="H1391" s="11"/>
    </row>
    <row r="1392" spans="1:8" ht="12.75" hidden="1">
      <c r="A1392" s="11"/>
      <c r="B1392" s="11"/>
      <c r="C1392" s="11"/>
      <c r="D1392" s="24"/>
      <c r="E1392" s="11"/>
      <c r="F1392" s="24"/>
      <c r="G1392" s="11"/>
      <c r="H1392" s="11"/>
    </row>
    <row r="1393" spans="1:8" ht="12.75" hidden="1">
      <c r="A1393" s="11"/>
      <c r="B1393" s="11"/>
      <c r="C1393" s="11"/>
      <c r="D1393" s="24"/>
      <c r="E1393" s="11"/>
      <c r="F1393" s="24"/>
      <c r="G1393" s="11"/>
      <c r="H1393" s="11"/>
    </row>
    <row r="1394" spans="1:8" ht="12.75" hidden="1">
      <c r="A1394" s="11"/>
      <c r="B1394" s="11"/>
      <c r="C1394" s="11"/>
      <c r="D1394" s="24"/>
      <c r="E1394" s="11"/>
      <c r="F1394" s="24"/>
      <c r="G1394" s="11"/>
      <c r="H1394" s="11"/>
    </row>
    <row r="1395" spans="1:8" ht="12.75" hidden="1">
      <c r="A1395" s="11"/>
      <c r="B1395" s="11"/>
      <c r="C1395" s="11"/>
      <c r="D1395" s="24"/>
      <c r="E1395" s="11"/>
      <c r="F1395" s="24"/>
      <c r="G1395" s="11"/>
      <c r="H1395" s="11"/>
    </row>
    <row r="1396" spans="1:8" ht="12.75" hidden="1">
      <c r="A1396" s="11"/>
      <c r="B1396" s="11"/>
      <c r="C1396" s="11"/>
      <c r="D1396" s="24"/>
      <c r="E1396" s="11"/>
      <c r="F1396" s="24"/>
      <c r="G1396" s="11"/>
      <c r="H1396" s="11"/>
    </row>
    <row r="1397" spans="1:8" ht="12.75" hidden="1">
      <c r="A1397" s="11"/>
      <c r="B1397" s="11"/>
      <c r="C1397" s="11"/>
      <c r="D1397" s="24"/>
      <c r="E1397" s="11"/>
      <c r="F1397" s="24"/>
      <c r="G1397" s="11"/>
      <c r="H1397" s="11"/>
    </row>
    <row r="1398" spans="1:8" ht="12.75" hidden="1">
      <c r="A1398" s="11"/>
      <c r="B1398" s="11"/>
      <c r="C1398" s="11"/>
      <c r="D1398" s="24"/>
      <c r="E1398" s="11"/>
      <c r="F1398" s="24"/>
      <c r="G1398" s="11"/>
      <c r="H1398" s="11"/>
    </row>
    <row r="1399" spans="1:8" ht="12.75" hidden="1">
      <c r="A1399" s="11"/>
      <c r="B1399" s="11"/>
      <c r="C1399" s="11"/>
      <c r="D1399" s="24"/>
      <c r="E1399" s="11"/>
      <c r="F1399" s="24"/>
      <c r="G1399" s="11"/>
      <c r="H1399" s="11"/>
    </row>
    <row r="1400" spans="1:8" ht="12.75" hidden="1">
      <c r="A1400" s="11"/>
      <c r="B1400" s="11"/>
      <c r="C1400" s="11"/>
      <c r="D1400" s="24"/>
      <c r="E1400" s="11"/>
      <c r="F1400" s="24"/>
      <c r="G1400" s="11"/>
      <c r="H1400" s="11"/>
    </row>
    <row r="1401" spans="1:8" ht="12.75" hidden="1">
      <c r="A1401" s="11"/>
      <c r="B1401" s="11"/>
      <c r="C1401" s="11"/>
      <c r="D1401" s="24"/>
      <c r="E1401" s="11"/>
      <c r="F1401" s="24"/>
      <c r="G1401" s="11"/>
      <c r="H1401" s="11"/>
    </row>
    <row r="1402" spans="1:8" ht="12.75" hidden="1">
      <c r="A1402" s="11"/>
      <c r="B1402" s="11"/>
      <c r="C1402" s="11"/>
      <c r="D1402" s="24"/>
      <c r="E1402" s="11"/>
      <c r="F1402" s="24"/>
      <c r="G1402" s="11"/>
      <c r="H1402" s="11"/>
    </row>
    <row r="1403" spans="1:8" ht="12.75" hidden="1">
      <c r="A1403" s="11"/>
      <c r="B1403" s="11"/>
      <c r="C1403" s="11"/>
      <c r="D1403" s="24"/>
      <c r="E1403" s="11"/>
      <c r="F1403" s="24"/>
      <c r="G1403" s="11"/>
      <c r="H1403" s="11"/>
    </row>
    <row r="1404" spans="1:8" ht="12.75" hidden="1">
      <c r="A1404" s="11"/>
      <c r="B1404" s="11"/>
      <c r="C1404" s="11"/>
      <c r="D1404" s="24"/>
      <c r="E1404" s="11"/>
      <c r="F1404" s="24"/>
      <c r="G1404" s="11"/>
      <c r="H1404" s="11"/>
    </row>
    <row r="1405" spans="1:8" ht="12.75" hidden="1">
      <c r="A1405" s="11"/>
      <c r="B1405" s="11"/>
      <c r="C1405" s="11"/>
      <c r="D1405" s="24"/>
      <c r="E1405" s="11"/>
      <c r="F1405" s="24"/>
      <c r="G1405" s="11"/>
      <c r="H1405" s="11"/>
    </row>
    <row r="1406" spans="1:8" ht="12.75" hidden="1">
      <c r="A1406" s="11"/>
      <c r="B1406" s="11"/>
      <c r="C1406" s="11"/>
      <c r="D1406" s="24"/>
      <c r="E1406" s="11"/>
      <c r="F1406" s="24"/>
      <c r="G1406" s="11"/>
      <c r="H1406" s="11"/>
    </row>
    <row r="1407" spans="1:8" ht="12.75" hidden="1">
      <c r="A1407" s="11"/>
      <c r="B1407" s="11"/>
      <c r="C1407" s="11"/>
      <c r="D1407" s="24"/>
      <c r="E1407" s="11"/>
      <c r="F1407" s="24"/>
      <c r="G1407" s="11"/>
      <c r="H1407" s="11"/>
    </row>
    <row r="1408" spans="1:8" ht="12.75" hidden="1">
      <c r="A1408" s="11"/>
      <c r="B1408" s="11"/>
      <c r="C1408" s="11"/>
      <c r="D1408" s="24"/>
      <c r="E1408" s="11"/>
      <c r="F1408" s="24"/>
      <c r="G1408" s="11"/>
      <c r="H1408" s="11"/>
    </row>
    <row r="1409" spans="1:8" ht="12.75" hidden="1">
      <c r="A1409" s="11"/>
      <c r="B1409" s="11"/>
      <c r="C1409" s="11"/>
      <c r="D1409" s="24"/>
      <c r="E1409" s="11"/>
      <c r="F1409" s="24"/>
      <c r="G1409" s="11"/>
      <c r="H1409" s="11"/>
    </row>
    <row r="1410" spans="1:8" ht="12.75" hidden="1">
      <c r="A1410" s="11"/>
      <c r="B1410" s="11"/>
      <c r="C1410" s="11"/>
      <c r="D1410" s="24"/>
      <c r="E1410" s="11"/>
      <c r="F1410" s="24"/>
      <c r="G1410" s="11"/>
      <c r="H1410" s="11"/>
    </row>
    <row r="1411" spans="1:8" ht="12.75" hidden="1">
      <c r="A1411" s="11"/>
      <c r="B1411" s="11"/>
      <c r="C1411" s="11"/>
      <c r="D1411" s="24"/>
      <c r="E1411" s="11"/>
      <c r="F1411" s="24"/>
      <c r="G1411" s="11"/>
      <c r="H1411" s="11"/>
    </row>
    <row r="1412" spans="1:8" ht="12.75" hidden="1">
      <c r="A1412" s="11"/>
      <c r="B1412" s="11"/>
      <c r="C1412" s="11"/>
      <c r="D1412" s="24"/>
      <c r="E1412" s="11"/>
      <c r="F1412" s="24"/>
      <c r="G1412" s="11"/>
      <c r="H1412" s="11"/>
    </row>
    <row r="1413" spans="1:8" ht="12.75" hidden="1">
      <c r="A1413" s="11"/>
      <c r="B1413" s="11"/>
      <c r="C1413" s="11"/>
      <c r="D1413" s="24"/>
      <c r="E1413" s="11"/>
      <c r="F1413" s="24"/>
      <c r="G1413" s="11"/>
      <c r="H1413" s="11"/>
    </row>
    <row r="1414" spans="1:8" ht="12.75" hidden="1">
      <c r="A1414" s="11"/>
      <c r="B1414" s="11"/>
      <c r="C1414" s="11"/>
      <c r="D1414" s="24"/>
      <c r="E1414" s="11"/>
      <c r="F1414" s="24"/>
      <c r="G1414" s="11"/>
      <c r="H1414" s="11"/>
    </row>
    <row r="1415" spans="1:8" ht="12.75" hidden="1">
      <c r="A1415" s="11"/>
      <c r="B1415" s="11"/>
      <c r="C1415" s="11"/>
      <c r="D1415" s="24"/>
      <c r="E1415" s="11"/>
      <c r="F1415" s="24"/>
      <c r="G1415" s="11"/>
      <c r="H1415" s="11"/>
    </row>
    <row r="1416" spans="1:8" ht="12.75" hidden="1">
      <c r="A1416" s="11"/>
      <c r="B1416" s="11"/>
      <c r="C1416" s="11"/>
      <c r="D1416" s="24"/>
      <c r="E1416" s="11"/>
      <c r="F1416" s="24"/>
      <c r="G1416" s="11"/>
      <c r="H1416" s="11"/>
    </row>
    <row r="1417" spans="1:8" ht="12.75" hidden="1">
      <c r="A1417" s="11"/>
      <c r="B1417" s="11"/>
      <c r="C1417" s="11"/>
      <c r="D1417" s="24"/>
      <c r="E1417" s="11"/>
      <c r="F1417" s="24"/>
      <c r="G1417" s="11"/>
      <c r="H1417" s="11"/>
    </row>
    <row r="1418" spans="1:8" ht="12.75" hidden="1">
      <c r="A1418" s="11"/>
      <c r="B1418" s="11"/>
      <c r="C1418" s="11"/>
      <c r="D1418" s="24"/>
      <c r="E1418" s="11"/>
      <c r="F1418" s="24"/>
      <c r="G1418" s="11"/>
      <c r="H1418" s="11"/>
    </row>
    <row r="1419" spans="1:8" ht="12.75" hidden="1">
      <c r="A1419" s="11"/>
      <c r="B1419" s="11"/>
      <c r="C1419" s="11"/>
      <c r="D1419" s="24"/>
      <c r="E1419" s="11"/>
      <c r="F1419" s="24"/>
      <c r="G1419" s="11"/>
      <c r="H1419" s="11"/>
    </row>
    <row r="1420" spans="1:8" ht="12.75" hidden="1">
      <c r="A1420" s="11"/>
      <c r="B1420" s="11"/>
      <c r="C1420" s="11"/>
      <c r="D1420" s="24"/>
      <c r="E1420" s="11"/>
      <c r="F1420" s="24"/>
      <c r="G1420" s="11"/>
      <c r="H1420" s="11"/>
    </row>
    <row r="1421" spans="1:8" ht="12.75" hidden="1">
      <c r="A1421" s="11"/>
      <c r="B1421" s="11"/>
      <c r="C1421" s="11"/>
      <c r="D1421" s="24"/>
      <c r="E1421" s="11"/>
      <c r="F1421" s="24"/>
      <c r="G1421" s="11"/>
      <c r="H1421" s="11"/>
    </row>
    <row r="1422" spans="1:8" ht="12.75" hidden="1">
      <c r="A1422" s="11"/>
      <c r="B1422" s="11"/>
      <c r="C1422" s="11"/>
      <c r="D1422" s="24"/>
      <c r="E1422" s="11"/>
      <c r="F1422" s="24"/>
      <c r="G1422" s="11"/>
      <c r="H1422" s="11"/>
    </row>
    <row r="1423" spans="1:8" ht="12.75" hidden="1">
      <c r="A1423" s="11"/>
      <c r="B1423" s="11"/>
      <c r="C1423" s="11"/>
      <c r="D1423" s="24"/>
      <c r="E1423" s="11"/>
      <c r="F1423" s="24"/>
      <c r="G1423" s="11"/>
      <c r="H1423" s="11"/>
    </row>
    <row r="1424" spans="1:8" ht="12.75" hidden="1">
      <c r="A1424" s="11"/>
      <c r="B1424" s="11"/>
      <c r="C1424" s="11"/>
      <c r="D1424" s="24"/>
      <c r="E1424" s="11"/>
      <c r="F1424" s="24"/>
      <c r="G1424" s="11"/>
      <c r="H1424" s="11"/>
    </row>
    <row r="1425" spans="1:8" ht="12.75" hidden="1">
      <c r="A1425" s="11"/>
      <c r="B1425" s="11"/>
      <c r="C1425" s="11"/>
      <c r="D1425" s="24"/>
      <c r="E1425" s="11"/>
      <c r="F1425" s="24"/>
      <c r="G1425" s="11"/>
      <c r="H1425" s="11"/>
    </row>
    <row r="1426" spans="1:8" ht="12.75" hidden="1">
      <c r="A1426" s="11"/>
      <c r="B1426" s="11"/>
      <c r="C1426" s="11"/>
      <c r="D1426" s="24"/>
      <c r="E1426" s="11"/>
      <c r="F1426" s="24"/>
      <c r="G1426" s="11"/>
      <c r="H1426" s="11"/>
    </row>
    <row r="1427" spans="1:8" ht="12.75" hidden="1">
      <c r="A1427" s="11"/>
      <c r="B1427" s="11"/>
      <c r="C1427" s="11"/>
      <c r="D1427" s="24"/>
      <c r="E1427" s="11"/>
      <c r="F1427" s="24"/>
      <c r="G1427" s="11"/>
      <c r="H1427" s="11"/>
    </row>
    <row r="1428" spans="1:8" ht="12.75" hidden="1">
      <c r="A1428" s="11"/>
      <c r="B1428" s="11"/>
      <c r="C1428" s="11"/>
      <c r="D1428" s="24"/>
      <c r="E1428" s="11"/>
      <c r="F1428" s="24"/>
      <c r="G1428" s="11"/>
      <c r="H1428" s="11"/>
    </row>
    <row r="1429" spans="1:8" ht="12.75" hidden="1">
      <c r="A1429" s="11"/>
      <c r="B1429" s="11"/>
      <c r="C1429" s="11"/>
      <c r="D1429" s="24"/>
      <c r="E1429" s="11"/>
      <c r="F1429" s="24"/>
      <c r="G1429" s="11"/>
      <c r="H1429" s="11"/>
    </row>
    <row r="1430" spans="1:8" ht="12.75" hidden="1">
      <c r="A1430" s="11"/>
      <c r="B1430" s="11"/>
      <c r="C1430" s="11"/>
      <c r="D1430" s="24"/>
      <c r="E1430" s="11"/>
      <c r="F1430" s="24"/>
      <c r="G1430" s="11"/>
      <c r="H1430" s="11"/>
    </row>
    <row r="1431" spans="1:8" ht="12.75" hidden="1">
      <c r="A1431" s="11"/>
      <c r="B1431" s="11"/>
      <c r="C1431" s="11"/>
      <c r="D1431" s="24"/>
      <c r="E1431" s="11"/>
      <c r="F1431" s="24"/>
      <c r="G1431" s="11"/>
      <c r="H1431" s="11"/>
    </row>
    <row r="1432" spans="1:8" ht="12.75" hidden="1">
      <c r="A1432" s="11"/>
      <c r="B1432" s="11"/>
      <c r="C1432" s="11"/>
      <c r="D1432" s="24"/>
      <c r="E1432" s="11"/>
      <c r="F1432" s="24"/>
      <c r="G1432" s="11"/>
      <c r="H1432" s="11"/>
    </row>
    <row r="1433" spans="1:8" ht="12.75" hidden="1">
      <c r="A1433" s="11"/>
      <c r="B1433" s="11"/>
      <c r="C1433" s="11"/>
      <c r="D1433" s="24"/>
      <c r="E1433" s="11"/>
      <c r="F1433" s="24"/>
      <c r="G1433" s="11"/>
      <c r="H1433" s="11"/>
    </row>
    <row r="1434" spans="1:8" ht="12.75" hidden="1">
      <c r="A1434" s="11"/>
      <c r="B1434" s="11"/>
      <c r="C1434" s="11"/>
      <c r="D1434" s="24"/>
      <c r="E1434" s="11"/>
      <c r="F1434" s="24"/>
      <c r="G1434" s="11"/>
      <c r="H1434" s="11"/>
    </row>
    <row r="1435" spans="1:8" ht="12.75" hidden="1">
      <c r="A1435" s="11"/>
      <c r="B1435" s="11"/>
      <c r="C1435" s="11"/>
      <c r="D1435" s="24"/>
      <c r="E1435" s="11"/>
      <c r="F1435" s="24"/>
      <c r="G1435" s="11"/>
      <c r="H1435" s="11"/>
    </row>
    <row r="1436" spans="1:8" ht="12.75" hidden="1">
      <c r="A1436" s="11"/>
      <c r="B1436" s="11"/>
      <c r="C1436" s="11"/>
      <c r="D1436" s="24"/>
      <c r="E1436" s="11"/>
      <c r="F1436" s="24"/>
      <c r="G1436" s="11"/>
      <c r="H1436" s="11"/>
    </row>
    <row r="1437" spans="1:8" ht="12.75" hidden="1">
      <c r="A1437" s="11"/>
      <c r="B1437" s="11"/>
      <c r="C1437" s="11"/>
      <c r="D1437" s="24"/>
      <c r="E1437" s="11"/>
      <c r="F1437" s="24"/>
      <c r="G1437" s="11"/>
      <c r="H1437" s="11"/>
    </row>
    <row r="1438" spans="1:8" ht="12.75" hidden="1">
      <c r="A1438" s="11"/>
      <c r="B1438" s="11"/>
      <c r="C1438" s="11"/>
      <c r="D1438" s="24"/>
      <c r="E1438" s="11"/>
      <c r="F1438" s="24"/>
      <c r="G1438" s="11"/>
      <c r="H1438" s="11"/>
    </row>
    <row r="1439" spans="1:8" ht="12.75" hidden="1">
      <c r="A1439" s="11"/>
      <c r="B1439" s="11"/>
      <c r="C1439" s="11"/>
      <c r="D1439" s="24"/>
      <c r="E1439" s="11"/>
      <c r="F1439" s="24"/>
      <c r="G1439" s="11"/>
      <c r="H1439" s="11"/>
    </row>
    <row r="1440" spans="1:8" ht="12.75" hidden="1">
      <c r="A1440" s="11"/>
      <c r="B1440" s="11"/>
      <c r="C1440" s="11"/>
      <c r="D1440" s="24"/>
      <c r="E1440" s="11"/>
      <c r="F1440" s="24"/>
      <c r="G1440" s="11"/>
      <c r="H1440" s="11"/>
    </row>
    <row r="1441" spans="1:8" ht="12.75" hidden="1">
      <c r="A1441" s="11"/>
      <c r="B1441" s="11"/>
      <c r="C1441" s="11"/>
      <c r="D1441" s="24"/>
      <c r="E1441" s="11"/>
      <c r="F1441" s="24"/>
      <c r="G1441" s="11"/>
      <c r="H1441" s="11"/>
    </row>
    <row r="1442" spans="1:8" ht="12.75" hidden="1">
      <c r="A1442" s="11"/>
      <c r="B1442" s="11"/>
      <c r="C1442" s="11"/>
      <c r="D1442" s="24"/>
      <c r="E1442" s="11"/>
      <c r="F1442" s="24"/>
      <c r="G1442" s="11"/>
      <c r="H1442" s="11"/>
    </row>
    <row r="1443" spans="1:8" ht="12.75" hidden="1">
      <c r="A1443" s="11"/>
      <c r="B1443" s="11"/>
      <c r="C1443" s="11"/>
      <c r="D1443" s="24"/>
      <c r="E1443" s="11"/>
      <c r="F1443" s="24"/>
      <c r="G1443" s="11"/>
      <c r="H1443" s="11"/>
    </row>
    <row r="1444" spans="1:8" ht="12.75" hidden="1">
      <c r="A1444" s="11"/>
      <c r="B1444" s="11"/>
      <c r="C1444" s="11"/>
      <c r="D1444" s="24"/>
      <c r="E1444" s="11"/>
      <c r="F1444" s="24"/>
      <c r="G1444" s="11"/>
      <c r="H1444" s="11"/>
    </row>
    <row r="1445" spans="1:8" ht="12.75" hidden="1">
      <c r="A1445" s="11"/>
      <c r="B1445" s="11"/>
      <c r="C1445" s="11"/>
      <c r="D1445" s="24"/>
      <c r="E1445" s="11"/>
      <c r="F1445" s="24"/>
      <c r="G1445" s="11"/>
      <c r="H1445" s="11"/>
    </row>
    <row r="1446" spans="1:8" ht="12.75" hidden="1">
      <c r="A1446" s="11"/>
      <c r="B1446" s="11"/>
      <c r="C1446" s="11"/>
      <c r="D1446" s="24"/>
      <c r="E1446" s="11"/>
      <c r="F1446" s="24"/>
      <c r="G1446" s="11"/>
      <c r="H1446" s="11"/>
    </row>
    <row r="1447" spans="1:8" ht="12.75" hidden="1">
      <c r="A1447" s="11"/>
      <c r="B1447" s="11"/>
      <c r="C1447" s="11"/>
      <c r="D1447" s="24"/>
      <c r="E1447" s="11"/>
      <c r="F1447" s="24"/>
      <c r="G1447" s="11"/>
      <c r="H1447" s="11"/>
    </row>
    <row r="1448" spans="1:8" ht="12.75" hidden="1">
      <c r="A1448" s="11"/>
      <c r="B1448" s="11"/>
      <c r="C1448" s="11"/>
      <c r="D1448" s="24"/>
      <c r="E1448" s="11"/>
      <c r="F1448" s="24"/>
      <c r="G1448" s="11"/>
      <c r="H1448" s="11"/>
    </row>
    <row r="1449" spans="1:8" ht="12.75" hidden="1">
      <c r="A1449" s="11"/>
      <c r="B1449" s="11"/>
      <c r="C1449" s="11"/>
      <c r="D1449" s="24"/>
      <c r="E1449" s="11"/>
      <c r="F1449" s="24"/>
      <c r="G1449" s="11"/>
      <c r="H1449" s="11"/>
    </row>
    <row r="1450" spans="1:8" ht="12.75" hidden="1">
      <c r="A1450" s="11"/>
      <c r="B1450" s="11"/>
      <c r="C1450" s="11"/>
      <c r="D1450" s="24"/>
      <c r="E1450" s="11"/>
      <c r="F1450" s="24"/>
      <c r="G1450" s="11"/>
      <c r="H1450" s="11"/>
    </row>
    <row r="1451" spans="1:8" ht="12.75" hidden="1">
      <c r="A1451" s="11"/>
      <c r="B1451" s="11"/>
      <c r="C1451" s="11"/>
      <c r="D1451" s="24"/>
      <c r="E1451" s="11"/>
      <c r="F1451" s="24"/>
      <c r="G1451" s="11"/>
      <c r="H1451" s="11"/>
    </row>
    <row r="1452" spans="1:8" ht="12.75" hidden="1">
      <c r="A1452" s="11"/>
      <c r="B1452" s="11"/>
      <c r="C1452" s="11"/>
      <c r="D1452" s="24"/>
      <c r="E1452" s="11"/>
      <c r="F1452" s="24"/>
      <c r="G1452" s="11"/>
      <c r="H1452" s="11"/>
    </row>
    <row r="1453" spans="1:8" ht="12.75" hidden="1">
      <c r="A1453" s="11"/>
      <c r="B1453" s="11"/>
      <c r="C1453" s="11"/>
      <c r="D1453" s="24"/>
      <c r="E1453" s="11"/>
      <c r="F1453" s="24"/>
      <c r="G1453" s="11"/>
      <c r="H1453" s="11"/>
    </row>
    <row r="1454" spans="1:8" ht="12.75" hidden="1">
      <c r="A1454" s="11"/>
      <c r="B1454" s="11"/>
      <c r="C1454" s="11"/>
      <c r="D1454" s="24"/>
      <c r="E1454" s="11"/>
      <c r="F1454" s="24"/>
      <c r="G1454" s="11"/>
      <c r="H1454" s="11"/>
    </row>
    <row r="1455" spans="1:8" ht="12.75" hidden="1">
      <c r="A1455" s="11"/>
      <c r="B1455" s="11"/>
      <c r="C1455" s="11"/>
      <c r="D1455" s="24"/>
      <c r="E1455" s="11"/>
      <c r="F1455" s="24"/>
      <c r="G1455" s="11"/>
      <c r="H1455" s="11"/>
    </row>
    <row r="1456" spans="1:8" ht="12.75" hidden="1">
      <c r="A1456" s="11"/>
      <c r="B1456" s="11"/>
      <c r="C1456" s="11"/>
      <c r="D1456" s="24"/>
      <c r="E1456" s="11"/>
      <c r="F1456" s="24"/>
      <c r="G1456" s="11"/>
      <c r="H1456" s="11"/>
    </row>
    <row r="1457" spans="1:8" ht="12.75" hidden="1">
      <c r="A1457" s="11"/>
      <c r="B1457" s="11"/>
      <c r="C1457" s="11"/>
      <c r="D1457" s="24"/>
      <c r="E1457" s="11"/>
      <c r="F1457" s="24"/>
      <c r="G1457" s="11"/>
      <c r="H1457" s="11"/>
    </row>
    <row r="1458" spans="1:8" ht="12.75" hidden="1">
      <c r="A1458" s="11"/>
      <c r="B1458" s="11"/>
      <c r="C1458" s="11"/>
      <c r="D1458" s="24"/>
      <c r="E1458" s="11"/>
      <c r="F1458" s="24"/>
      <c r="G1458" s="11"/>
      <c r="H1458" s="11"/>
    </row>
    <row r="1459" spans="1:8" ht="12.75" hidden="1">
      <c r="A1459" s="11"/>
      <c r="B1459" s="11"/>
      <c r="C1459" s="11"/>
      <c r="D1459" s="24"/>
      <c r="E1459" s="11"/>
      <c r="F1459" s="24"/>
      <c r="G1459" s="11"/>
      <c r="H1459" s="11"/>
    </row>
    <row r="1460" spans="1:8" ht="12.75" hidden="1">
      <c r="A1460" s="11"/>
      <c r="B1460" s="11"/>
      <c r="C1460" s="11"/>
      <c r="D1460" s="24"/>
      <c r="E1460" s="11"/>
      <c r="F1460" s="24"/>
      <c r="G1460" s="11"/>
      <c r="H1460" s="11"/>
    </row>
    <row r="1461" spans="1:8" ht="12.75" hidden="1">
      <c r="A1461" s="11"/>
      <c r="B1461" s="11"/>
      <c r="C1461" s="11"/>
      <c r="D1461" s="24"/>
      <c r="E1461" s="11"/>
      <c r="F1461" s="24"/>
      <c r="G1461" s="11"/>
      <c r="H1461" s="11"/>
    </row>
    <row r="1462" spans="1:8" ht="12.75" hidden="1">
      <c r="A1462" s="11"/>
      <c r="B1462" s="11"/>
      <c r="C1462" s="11"/>
      <c r="D1462" s="24"/>
      <c r="E1462" s="11"/>
      <c r="F1462" s="24"/>
      <c r="G1462" s="11"/>
      <c r="H1462" s="11"/>
    </row>
    <row r="1463" spans="1:8" ht="12.75" hidden="1">
      <c r="A1463" s="11"/>
      <c r="B1463" s="11"/>
      <c r="C1463" s="11"/>
      <c r="D1463" s="24"/>
      <c r="E1463" s="11"/>
      <c r="F1463" s="24"/>
      <c r="G1463" s="11"/>
      <c r="H1463" s="11"/>
    </row>
    <row r="1464" spans="1:8" ht="12.75" hidden="1">
      <c r="A1464" s="11"/>
      <c r="B1464" s="11"/>
      <c r="C1464" s="11"/>
      <c r="D1464" s="24"/>
      <c r="E1464" s="11"/>
      <c r="F1464" s="24"/>
      <c r="G1464" s="11"/>
      <c r="H1464" s="11"/>
    </row>
    <row r="1465" spans="1:8" ht="12.75" hidden="1">
      <c r="A1465" s="11"/>
      <c r="B1465" s="11"/>
      <c r="C1465" s="11"/>
      <c r="D1465" s="24"/>
      <c r="E1465" s="11"/>
      <c r="F1465" s="24"/>
      <c r="G1465" s="11"/>
      <c r="H1465" s="11"/>
    </row>
    <row r="1466" spans="1:8" ht="12.75" hidden="1">
      <c r="A1466" s="11"/>
      <c r="B1466" s="11"/>
      <c r="C1466" s="11"/>
      <c r="D1466" s="24"/>
      <c r="E1466" s="11"/>
      <c r="F1466" s="24"/>
      <c r="G1466" s="11"/>
      <c r="H1466" s="11"/>
    </row>
    <row r="1467" spans="1:8" ht="12.75" hidden="1">
      <c r="A1467" s="11"/>
      <c r="B1467" s="11"/>
      <c r="C1467" s="11"/>
      <c r="D1467" s="24"/>
      <c r="E1467" s="11"/>
      <c r="F1467" s="24"/>
      <c r="G1467" s="11"/>
      <c r="H1467" s="11"/>
    </row>
    <row r="1468" spans="1:8" ht="12.75" hidden="1">
      <c r="A1468" s="11"/>
      <c r="B1468" s="11"/>
      <c r="C1468" s="11"/>
      <c r="D1468" s="24"/>
      <c r="E1468" s="11"/>
      <c r="F1468" s="24"/>
      <c r="G1468" s="11"/>
      <c r="H1468" s="11"/>
    </row>
    <row r="1469" spans="1:8" ht="12.75" hidden="1">
      <c r="A1469" s="11"/>
      <c r="B1469" s="11"/>
      <c r="C1469" s="11"/>
      <c r="D1469" s="24"/>
      <c r="E1469" s="11"/>
      <c r="F1469" s="24"/>
      <c r="G1469" s="11"/>
      <c r="H1469" s="11"/>
    </row>
    <row r="1470" spans="1:8" ht="12.75" hidden="1">
      <c r="A1470" s="11"/>
      <c r="B1470" s="11"/>
      <c r="C1470" s="11"/>
      <c r="D1470" s="24"/>
      <c r="E1470" s="11"/>
      <c r="F1470" s="24"/>
      <c r="G1470" s="11"/>
      <c r="H1470" s="11"/>
    </row>
    <row r="1471" spans="1:8" ht="12.75" hidden="1">
      <c r="A1471" s="11"/>
      <c r="B1471" s="11"/>
      <c r="C1471" s="11"/>
      <c r="D1471" s="24"/>
      <c r="E1471" s="11"/>
      <c r="F1471" s="24"/>
      <c r="G1471" s="11"/>
      <c r="H1471" s="11"/>
    </row>
    <row r="1472" spans="1:8" ht="12.75" hidden="1">
      <c r="A1472" s="11"/>
      <c r="B1472" s="11"/>
      <c r="C1472" s="11"/>
      <c r="D1472" s="24"/>
      <c r="E1472" s="11"/>
      <c r="F1472" s="24"/>
      <c r="G1472" s="11"/>
      <c r="H1472" s="11"/>
    </row>
    <row r="1473" spans="1:8" ht="12.75" hidden="1">
      <c r="A1473" s="11"/>
      <c r="B1473" s="11"/>
      <c r="C1473" s="11"/>
      <c r="D1473" s="24"/>
      <c r="E1473" s="11"/>
      <c r="F1473" s="24"/>
      <c r="G1473" s="11"/>
      <c r="H1473" s="11"/>
    </row>
    <row r="1474" spans="1:8" ht="12.75" hidden="1">
      <c r="A1474" s="11"/>
      <c r="B1474" s="11"/>
      <c r="C1474" s="11"/>
      <c r="D1474" s="24"/>
      <c r="E1474" s="11"/>
      <c r="F1474" s="24"/>
      <c r="G1474" s="11"/>
      <c r="H1474" s="11"/>
    </row>
    <row r="1475" spans="1:8" ht="12.75" hidden="1">
      <c r="A1475" s="11"/>
      <c r="B1475" s="11"/>
      <c r="C1475" s="11"/>
      <c r="D1475" s="24"/>
      <c r="E1475" s="11"/>
      <c r="F1475" s="24"/>
      <c r="G1475" s="11"/>
      <c r="H1475" s="11"/>
    </row>
    <row r="1476" spans="1:8" ht="12.75" hidden="1">
      <c r="A1476" s="11"/>
      <c r="B1476" s="11"/>
      <c r="C1476" s="11"/>
      <c r="D1476" s="24"/>
      <c r="E1476" s="11"/>
      <c r="F1476" s="24"/>
      <c r="G1476" s="11"/>
      <c r="H1476" s="11"/>
    </row>
    <row r="1477" spans="1:8" ht="12.75" hidden="1">
      <c r="A1477" s="11"/>
      <c r="B1477" s="11"/>
      <c r="C1477" s="11"/>
      <c r="D1477" s="24"/>
      <c r="E1477" s="11"/>
      <c r="F1477" s="24"/>
      <c r="G1477" s="11"/>
      <c r="H1477" s="11"/>
    </row>
    <row r="1478" spans="1:8" ht="12.75" hidden="1">
      <c r="A1478" s="11"/>
      <c r="B1478" s="11"/>
      <c r="C1478" s="11"/>
      <c r="D1478" s="24"/>
      <c r="E1478" s="11"/>
      <c r="F1478" s="24"/>
      <c r="G1478" s="11"/>
      <c r="H1478" s="11"/>
    </row>
    <row r="1479" spans="1:8" ht="12.75" hidden="1">
      <c r="A1479" s="11"/>
      <c r="B1479" s="11"/>
      <c r="C1479" s="11"/>
      <c r="D1479" s="24"/>
      <c r="E1479" s="11"/>
      <c r="F1479" s="24"/>
      <c r="G1479" s="11"/>
      <c r="H1479" s="11"/>
    </row>
    <row r="1480" spans="1:8" ht="12.75" hidden="1">
      <c r="A1480" s="11"/>
      <c r="B1480" s="11"/>
      <c r="C1480" s="11"/>
      <c r="D1480" s="24"/>
      <c r="E1480" s="11"/>
      <c r="F1480" s="24"/>
      <c r="G1480" s="11"/>
      <c r="H1480" s="11"/>
    </row>
    <row r="1481" spans="1:8" ht="12.75" hidden="1">
      <c r="A1481" s="11"/>
      <c r="B1481" s="11"/>
      <c r="C1481" s="11"/>
      <c r="D1481" s="24"/>
      <c r="E1481" s="11"/>
      <c r="F1481" s="24"/>
      <c r="G1481" s="11"/>
      <c r="H1481" s="11"/>
    </row>
    <row r="1482" spans="1:8" ht="12.75" hidden="1">
      <c r="A1482" s="11"/>
      <c r="B1482" s="11"/>
      <c r="C1482" s="11"/>
      <c r="D1482" s="24"/>
      <c r="E1482" s="11"/>
      <c r="F1482" s="24"/>
      <c r="G1482" s="11"/>
      <c r="H1482" s="11"/>
    </row>
    <row r="1483" spans="1:8" ht="12.75" hidden="1">
      <c r="A1483" s="11"/>
      <c r="B1483" s="11"/>
      <c r="C1483" s="11"/>
      <c r="D1483" s="24"/>
      <c r="E1483" s="11"/>
      <c r="F1483" s="24"/>
      <c r="G1483" s="11"/>
      <c r="H1483" s="11"/>
    </row>
    <row r="1484" spans="1:8" ht="12.75" hidden="1">
      <c r="A1484" s="11"/>
      <c r="B1484" s="11"/>
      <c r="C1484" s="11"/>
      <c r="D1484" s="24"/>
      <c r="E1484" s="11"/>
      <c r="F1484" s="24"/>
      <c r="G1484" s="11"/>
      <c r="H1484" s="11"/>
    </row>
    <row r="1485" spans="1:8" ht="12.75" hidden="1">
      <c r="A1485" s="11"/>
      <c r="B1485" s="11"/>
      <c r="C1485" s="11"/>
      <c r="D1485" s="24"/>
      <c r="E1485" s="11"/>
      <c r="F1485" s="24"/>
      <c r="G1485" s="11"/>
      <c r="H1485" s="11"/>
    </row>
    <row r="1486" spans="1:8" ht="12.75" hidden="1">
      <c r="A1486" s="11"/>
      <c r="B1486" s="11"/>
      <c r="C1486" s="11"/>
      <c r="D1486" s="24"/>
      <c r="E1486" s="11"/>
      <c r="F1486" s="24"/>
      <c r="G1486" s="11"/>
      <c r="H1486" s="11"/>
    </row>
    <row r="1487" spans="1:8" ht="12.75" hidden="1">
      <c r="A1487" s="11"/>
      <c r="B1487" s="11"/>
      <c r="C1487" s="11"/>
      <c r="D1487" s="24"/>
      <c r="E1487" s="11"/>
      <c r="F1487" s="24"/>
      <c r="G1487" s="11"/>
      <c r="H1487" s="11"/>
    </row>
    <row r="1488" spans="1:8" ht="12.75" hidden="1">
      <c r="A1488" s="11"/>
      <c r="B1488" s="11"/>
      <c r="C1488" s="11"/>
      <c r="D1488" s="24"/>
      <c r="E1488" s="11"/>
      <c r="F1488" s="24"/>
      <c r="G1488" s="11"/>
      <c r="H1488" s="11"/>
    </row>
    <row r="1489" spans="1:8" ht="12.75" hidden="1">
      <c r="A1489" s="11"/>
      <c r="B1489" s="11"/>
      <c r="C1489" s="11"/>
      <c r="D1489" s="24"/>
      <c r="E1489" s="11"/>
      <c r="F1489" s="24"/>
      <c r="G1489" s="11"/>
      <c r="H1489" s="11"/>
    </row>
    <row r="1490" spans="1:8" ht="12.75" hidden="1">
      <c r="A1490" s="11"/>
      <c r="B1490" s="11"/>
      <c r="C1490" s="11"/>
      <c r="D1490" s="24"/>
      <c r="E1490" s="11"/>
      <c r="F1490" s="24"/>
      <c r="G1490" s="11"/>
      <c r="H1490" s="11"/>
    </row>
    <row r="1491" spans="1:8" ht="12.75" hidden="1">
      <c r="A1491" s="11"/>
      <c r="B1491" s="11"/>
      <c r="C1491" s="11"/>
      <c r="D1491" s="24"/>
      <c r="E1491" s="11"/>
      <c r="F1491" s="24"/>
      <c r="G1491" s="11"/>
      <c r="H1491" s="11"/>
    </row>
    <row r="1492" spans="1:8" ht="12.75" hidden="1">
      <c r="A1492" s="11"/>
      <c r="B1492" s="11"/>
      <c r="C1492" s="11"/>
      <c r="D1492" s="24"/>
      <c r="E1492" s="11"/>
      <c r="F1492" s="24"/>
      <c r="G1492" s="11"/>
      <c r="H1492" s="11"/>
    </row>
    <row r="1493" spans="1:8" ht="12.75" hidden="1">
      <c r="A1493" s="11"/>
      <c r="B1493" s="11"/>
      <c r="C1493" s="11"/>
      <c r="D1493" s="24"/>
      <c r="E1493" s="11"/>
      <c r="F1493" s="24"/>
      <c r="G1493" s="11"/>
      <c r="H1493" s="11"/>
    </row>
    <row r="1494" spans="1:8" ht="12.75" hidden="1">
      <c r="A1494" s="11"/>
      <c r="B1494" s="11"/>
      <c r="C1494" s="11"/>
      <c r="D1494" s="24"/>
      <c r="E1494" s="11"/>
      <c r="F1494" s="24"/>
      <c r="G1494" s="11"/>
      <c r="H1494" s="11"/>
    </row>
    <row r="1495" spans="1:8" ht="12.75" hidden="1">
      <c r="A1495" s="11"/>
      <c r="B1495" s="11"/>
      <c r="C1495" s="11"/>
      <c r="D1495" s="24"/>
      <c r="E1495" s="11"/>
      <c r="F1495" s="24"/>
      <c r="G1495" s="11"/>
      <c r="H1495" s="11"/>
    </row>
    <row r="1496" spans="1:8" ht="12.75" hidden="1">
      <c r="A1496" s="11"/>
      <c r="B1496" s="11"/>
      <c r="C1496" s="11"/>
      <c r="D1496" s="24"/>
      <c r="E1496" s="11"/>
      <c r="F1496" s="24"/>
      <c r="G1496" s="11"/>
      <c r="H1496" s="11"/>
    </row>
    <row r="1497" spans="1:8" ht="12.75" hidden="1">
      <c r="A1497" s="11"/>
      <c r="B1497" s="11"/>
      <c r="C1497" s="11"/>
      <c r="D1497" s="24"/>
      <c r="E1497" s="11"/>
      <c r="F1497" s="24"/>
      <c r="G1497" s="11"/>
      <c r="H1497" s="11"/>
    </row>
    <row r="1498" spans="1:8" ht="12.75" hidden="1">
      <c r="A1498" s="11"/>
      <c r="B1498" s="11"/>
      <c r="C1498" s="11"/>
      <c r="D1498" s="24"/>
      <c r="E1498" s="11"/>
      <c r="F1498" s="24"/>
      <c r="G1498" s="11"/>
      <c r="H1498" s="11"/>
    </row>
    <row r="1499" spans="1:8" ht="12.75" hidden="1">
      <c r="A1499" s="11"/>
      <c r="B1499" s="11"/>
      <c r="C1499" s="11"/>
      <c r="D1499" s="24"/>
      <c r="E1499" s="11"/>
      <c r="F1499" s="24"/>
      <c r="G1499" s="11"/>
      <c r="H1499" s="11"/>
    </row>
    <row r="1500" spans="1:8" ht="12.75" hidden="1">
      <c r="A1500" s="11"/>
      <c r="B1500" s="11"/>
      <c r="C1500" s="11"/>
      <c r="D1500" s="24"/>
      <c r="E1500" s="11"/>
      <c r="F1500" s="24"/>
      <c r="G1500" s="11"/>
      <c r="H1500" s="11"/>
    </row>
    <row r="1501" spans="1:8" ht="12.75" hidden="1">
      <c r="A1501" s="11"/>
      <c r="B1501" s="11"/>
      <c r="C1501" s="11"/>
      <c r="D1501" s="24"/>
      <c r="E1501" s="11"/>
      <c r="F1501" s="24"/>
      <c r="G1501" s="11"/>
      <c r="H1501" s="11"/>
    </row>
    <row r="1502" spans="1:8" ht="12.75" hidden="1">
      <c r="A1502" s="11"/>
      <c r="B1502" s="11"/>
      <c r="C1502" s="11"/>
      <c r="D1502" s="24"/>
      <c r="E1502" s="11"/>
      <c r="F1502" s="24"/>
      <c r="G1502" s="11"/>
      <c r="H1502" s="11"/>
    </row>
    <row r="1503" spans="1:8" ht="12.75" hidden="1">
      <c r="A1503" s="11"/>
      <c r="B1503" s="11"/>
      <c r="C1503" s="11"/>
      <c r="D1503" s="24"/>
      <c r="E1503" s="11"/>
      <c r="F1503" s="24"/>
      <c r="G1503" s="11"/>
      <c r="H1503" s="11"/>
    </row>
    <row r="1504" spans="1:8" ht="12.75" hidden="1">
      <c r="A1504" s="11"/>
      <c r="B1504" s="11"/>
      <c r="C1504" s="11"/>
      <c r="D1504" s="24"/>
      <c r="E1504" s="11"/>
      <c r="F1504" s="24"/>
      <c r="G1504" s="11"/>
      <c r="H1504" s="11"/>
    </row>
    <row r="1505" spans="1:8" ht="12.75" hidden="1">
      <c r="A1505" s="11"/>
      <c r="B1505" s="11"/>
      <c r="C1505" s="11"/>
      <c r="D1505" s="24"/>
      <c r="E1505" s="11"/>
      <c r="F1505" s="24"/>
      <c r="G1505" s="11"/>
      <c r="H1505" s="11"/>
    </row>
    <row r="1506" spans="1:8" ht="12.75" hidden="1">
      <c r="A1506" s="11"/>
      <c r="B1506" s="11"/>
      <c r="C1506" s="11"/>
      <c r="D1506" s="24"/>
      <c r="E1506" s="11"/>
      <c r="F1506" s="24"/>
      <c r="G1506" s="11"/>
      <c r="H1506" s="11"/>
    </row>
    <row r="1507" spans="1:8" ht="12.75" hidden="1">
      <c r="A1507" s="11"/>
      <c r="B1507" s="11"/>
      <c r="C1507" s="11"/>
      <c r="D1507" s="24"/>
      <c r="E1507" s="11"/>
      <c r="F1507" s="24"/>
      <c r="G1507" s="11"/>
      <c r="H1507" s="11"/>
    </row>
    <row r="1508" spans="1:8" ht="12.75" hidden="1">
      <c r="A1508" s="11"/>
      <c r="B1508" s="11"/>
      <c r="C1508" s="11"/>
      <c r="D1508" s="24"/>
      <c r="E1508" s="11"/>
      <c r="F1508" s="24"/>
      <c r="G1508" s="11"/>
      <c r="H1508" s="11"/>
    </row>
    <row r="1509" spans="1:8" ht="12.75" hidden="1">
      <c r="A1509" s="11"/>
      <c r="B1509" s="11"/>
      <c r="C1509" s="11"/>
      <c r="D1509" s="24"/>
      <c r="E1509" s="11"/>
      <c r="F1509" s="24"/>
      <c r="G1509" s="11"/>
      <c r="H1509" s="11"/>
    </row>
    <row r="1510" spans="1:8" ht="12.75" hidden="1">
      <c r="A1510" s="11"/>
      <c r="B1510" s="11"/>
      <c r="C1510" s="11"/>
      <c r="D1510" s="24"/>
      <c r="E1510" s="11"/>
      <c r="F1510" s="24"/>
      <c r="G1510" s="11"/>
      <c r="H1510" s="11"/>
    </row>
    <row r="1511" spans="1:8" ht="12.75" hidden="1">
      <c r="A1511" s="11"/>
      <c r="B1511" s="11"/>
      <c r="C1511" s="11"/>
      <c r="D1511" s="24"/>
      <c r="E1511" s="11"/>
      <c r="F1511" s="24"/>
      <c r="G1511" s="11"/>
      <c r="H1511" s="11"/>
    </row>
    <row r="1512" spans="1:8" ht="12.75" hidden="1">
      <c r="A1512" s="11"/>
      <c r="B1512" s="11"/>
      <c r="C1512" s="11"/>
      <c r="D1512" s="24"/>
      <c r="E1512" s="11"/>
      <c r="F1512" s="24"/>
      <c r="G1512" s="11"/>
      <c r="H1512" s="11"/>
    </row>
    <row r="1513" spans="1:8" ht="12.75" hidden="1">
      <c r="A1513" s="11"/>
      <c r="B1513" s="11"/>
      <c r="C1513" s="11"/>
      <c r="D1513" s="24"/>
      <c r="E1513" s="11"/>
      <c r="F1513" s="24"/>
      <c r="G1513" s="11"/>
      <c r="H1513" s="11"/>
    </row>
    <row r="1514" spans="1:8" ht="12.75" hidden="1">
      <c r="A1514" s="11"/>
      <c r="B1514" s="11"/>
      <c r="C1514" s="11"/>
      <c r="D1514" s="24"/>
      <c r="E1514" s="11"/>
      <c r="F1514" s="24"/>
      <c r="G1514" s="11"/>
      <c r="H1514" s="11"/>
    </row>
    <row r="1515" spans="1:8" ht="12.75" hidden="1">
      <c r="A1515" s="11"/>
      <c r="B1515" s="11"/>
      <c r="C1515" s="11"/>
      <c r="D1515" s="24"/>
      <c r="E1515" s="11"/>
      <c r="F1515" s="24"/>
      <c r="G1515" s="11"/>
      <c r="H1515" s="11"/>
    </row>
    <row r="1516" spans="1:8" ht="12.75" hidden="1">
      <c r="A1516" s="11"/>
      <c r="B1516" s="11"/>
      <c r="C1516" s="11"/>
      <c r="D1516" s="24"/>
      <c r="E1516" s="11"/>
      <c r="F1516" s="24"/>
      <c r="G1516" s="11"/>
      <c r="H1516" s="11"/>
    </row>
    <row r="1517" spans="1:8" ht="12.75" hidden="1">
      <c r="A1517" s="11"/>
      <c r="B1517" s="11"/>
      <c r="C1517" s="11"/>
      <c r="D1517" s="24"/>
      <c r="E1517" s="11"/>
      <c r="F1517" s="24"/>
      <c r="G1517" s="11"/>
      <c r="H1517" s="11"/>
    </row>
    <row r="1518" spans="1:8" ht="12.75" hidden="1">
      <c r="A1518" s="11"/>
      <c r="B1518" s="11"/>
      <c r="C1518" s="11"/>
      <c r="D1518" s="24"/>
      <c r="E1518" s="11"/>
      <c r="F1518" s="24"/>
      <c r="G1518" s="11"/>
      <c r="H1518" s="11"/>
    </row>
    <row r="1519" spans="1:8" ht="12.75" hidden="1">
      <c r="A1519" s="11"/>
      <c r="B1519" s="11"/>
      <c r="C1519" s="11"/>
      <c r="D1519" s="24"/>
      <c r="E1519" s="11"/>
      <c r="F1519" s="24"/>
      <c r="G1519" s="11"/>
      <c r="H1519" s="11"/>
    </row>
    <row r="1520" spans="1:8" ht="12.75" hidden="1">
      <c r="A1520" s="11"/>
      <c r="B1520" s="11"/>
      <c r="C1520" s="11"/>
      <c r="D1520" s="24"/>
      <c r="E1520" s="11"/>
      <c r="F1520" s="24"/>
      <c r="G1520" s="11"/>
      <c r="H1520" s="11"/>
    </row>
    <row r="1521" spans="1:8" ht="12.75" hidden="1">
      <c r="A1521" s="11"/>
      <c r="B1521" s="11"/>
      <c r="C1521" s="11"/>
      <c r="D1521" s="24"/>
      <c r="E1521" s="11"/>
      <c r="F1521" s="24"/>
      <c r="G1521" s="11"/>
      <c r="H1521" s="11"/>
    </row>
    <row r="1522" spans="1:8" ht="12.75" hidden="1">
      <c r="A1522" s="11"/>
      <c r="B1522" s="11"/>
      <c r="C1522" s="11"/>
      <c r="D1522" s="24"/>
      <c r="E1522" s="11"/>
      <c r="F1522" s="24"/>
      <c r="G1522" s="11"/>
      <c r="H1522" s="11"/>
    </row>
    <row r="1523" spans="1:8" ht="12.75" hidden="1">
      <c r="A1523" s="11"/>
      <c r="B1523" s="11"/>
      <c r="C1523" s="11"/>
      <c r="D1523" s="24"/>
      <c r="E1523" s="11"/>
      <c r="F1523" s="24"/>
      <c r="G1523" s="11"/>
      <c r="H1523" s="11"/>
    </row>
    <row r="1524" spans="1:8" ht="12.75" hidden="1">
      <c r="A1524" s="11"/>
      <c r="B1524" s="11"/>
      <c r="C1524" s="11"/>
      <c r="D1524" s="24"/>
      <c r="E1524" s="11"/>
      <c r="F1524" s="24"/>
      <c r="G1524" s="11"/>
      <c r="H1524" s="11"/>
    </row>
    <row r="1525" spans="1:8" ht="12.75" hidden="1">
      <c r="A1525" s="11"/>
      <c r="B1525" s="11"/>
      <c r="C1525" s="11"/>
      <c r="D1525" s="24"/>
      <c r="E1525" s="11"/>
      <c r="F1525" s="24"/>
      <c r="G1525" s="11"/>
      <c r="H1525" s="11"/>
    </row>
    <row r="1526" spans="1:8" ht="12.75" hidden="1">
      <c r="A1526" s="11"/>
      <c r="B1526" s="11"/>
      <c r="C1526" s="11"/>
      <c r="D1526" s="24"/>
      <c r="E1526" s="11"/>
      <c r="F1526" s="24"/>
      <c r="G1526" s="11"/>
      <c r="H1526" s="11"/>
    </row>
    <row r="1527" spans="1:8" ht="12.75" hidden="1">
      <c r="A1527" s="11"/>
      <c r="B1527" s="11"/>
      <c r="C1527" s="11"/>
      <c r="D1527" s="24"/>
      <c r="E1527" s="11"/>
      <c r="F1527" s="24"/>
      <c r="G1527" s="11"/>
      <c r="H1527" s="11"/>
    </row>
    <row r="1528" spans="1:8" ht="12.75" hidden="1">
      <c r="A1528" s="11"/>
      <c r="B1528" s="11"/>
      <c r="C1528" s="11"/>
      <c r="D1528" s="24"/>
      <c r="E1528" s="11"/>
      <c r="F1528" s="24"/>
      <c r="G1528" s="11"/>
      <c r="H1528" s="11"/>
    </row>
    <row r="1529" spans="1:8" ht="12.75" hidden="1">
      <c r="A1529" s="11"/>
      <c r="B1529" s="11"/>
      <c r="C1529" s="11"/>
      <c r="D1529" s="24"/>
      <c r="E1529" s="11"/>
      <c r="F1529" s="24"/>
      <c r="G1529" s="11"/>
      <c r="H1529" s="11"/>
    </row>
    <row r="1530" spans="1:8" ht="12.75" hidden="1">
      <c r="A1530" s="11"/>
      <c r="B1530" s="11"/>
      <c r="C1530" s="11"/>
      <c r="D1530" s="24"/>
      <c r="E1530" s="11"/>
      <c r="F1530" s="24"/>
      <c r="G1530" s="11"/>
      <c r="H1530" s="11"/>
    </row>
    <row r="1531" spans="1:8" ht="12.75" hidden="1">
      <c r="A1531" s="11"/>
      <c r="B1531" s="11"/>
      <c r="C1531" s="11"/>
      <c r="D1531" s="24"/>
      <c r="E1531" s="11"/>
      <c r="F1531" s="24"/>
      <c r="G1531" s="11"/>
      <c r="H1531" s="11"/>
    </row>
    <row r="1532" spans="1:8" ht="12.75" hidden="1">
      <c r="A1532" s="11"/>
      <c r="B1532" s="11"/>
      <c r="C1532" s="11"/>
      <c r="D1532" s="24"/>
      <c r="E1532" s="11"/>
      <c r="F1532" s="24"/>
      <c r="G1532" s="11"/>
      <c r="H1532" s="11"/>
    </row>
    <row r="1533" spans="1:8" ht="12.75" hidden="1">
      <c r="A1533" s="11"/>
      <c r="B1533" s="11"/>
      <c r="C1533" s="11"/>
      <c r="D1533" s="24"/>
      <c r="E1533" s="11"/>
      <c r="F1533" s="24"/>
      <c r="G1533" s="11"/>
      <c r="H1533" s="11"/>
    </row>
    <row r="1534" spans="1:8" ht="12.75" hidden="1">
      <c r="A1534" s="11"/>
      <c r="B1534" s="11"/>
      <c r="C1534" s="11"/>
      <c r="D1534" s="24"/>
      <c r="E1534" s="11"/>
      <c r="F1534" s="24"/>
      <c r="G1534" s="11"/>
      <c r="H1534" s="11"/>
    </row>
    <row r="1535" spans="1:8" ht="12.75" hidden="1">
      <c r="A1535" s="11"/>
      <c r="B1535" s="11"/>
      <c r="C1535" s="11"/>
      <c r="D1535" s="24"/>
      <c r="E1535" s="11"/>
      <c r="F1535" s="24"/>
      <c r="G1535" s="11"/>
      <c r="H1535" s="11"/>
    </row>
    <row r="1536" spans="1:8" ht="12.75" hidden="1">
      <c r="A1536" s="11"/>
      <c r="B1536" s="11"/>
      <c r="C1536" s="11"/>
      <c r="D1536" s="24"/>
      <c r="E1536" s="11"/>
      <c r="F1536" s="24"/>
      <c r="G1536" s="11"/>
      <c r="H1536" s="11"/>
    </row>
    <row r="1537" spans="1:8" ht="12.75" hidden="1">
      <c r="A1537" s="11"/>
      <c r="B1537" s="11"/>
      <c r="C1537" s="11"/>
      <c r="D1537" s="24"/>
      <c r="E1537" s="11"/>
      <c r="F1537" s="24"/>
      <c r="G1537" s="11"/>
      <c r="H1537" s="11"/>
    </row>
    <row r="1538" spans="1:8" ht="12.75" hidden="1">
      <c r="A1538" s="11"/>
      <c r="B1538" s="11"/>
      <c r="C1538" s="11"/>
      <c r="D1538" s="24"/>
      <c r="E1538" s="11"/>
      <c r="F1538" s="24"/>
      <c r="G1538" s="11"/>
      <c r="H1538" s="11"/>
    </row>
    <row r="1539" spans="1:8" ht="12.75" hidden="1">
      <c r="A1539" s="11"/>
      <c r="B1539" s="11"/>
      <c r="C1539" s="11"/>
      <c r="D1539" s="24"/>
      <c r="E1539" s="11"/>
      <c r="F1539" s="24"/>
      <c r="G1539" s="11"/>
      <c r="H1539" s="11"/>
    </row>
    <row r="1540" spans="1:8" ht="12.75" hidden="1">
      <c r="A1540" s="11"/>
      <c r="B1540" s="11"/>
      <c r="C1540" s="11"/>
      <c r="D1540" s="24"/>
      <c r="E1540" s="11"/>
      <c r="F1540" s="24"/>
      <c r="G1540" s="11"/>
      <c r="H1540" s="11"/>
    </row>
    <row r="1541" spans="1:8" ht="12.75" hidden="1">
      <c r="A1541" s="11"/>
      <c r="B1541" s="11"/>
      <c r="C1541" s="11"/>
      <c r="D1541" s="24"/>
      <c r="E1541" s="11"/>
      <c r="F1541" s="24"/>
      <c r="G1541" s="11"/>
      <c r="H1541" s="11"/>
    </row>
    <row r="1542" spans="1:8" ht="12.75" hidden="1">
      <c r="A1542" s="11"/>
      <c r="B1542" s="11"/>
      <c r="C1542" s="11"/>
      <c r="D1542" s="24"/>
      <c r="E1542" s="11"/>
      <c r="F1542" s="24"/>
      <c r="G1542" s="11"/>
      <c r="H1542" s="11"/>
    </row>
    <row r="1543" spans="1:8" ht="12.75" hidden="1">
      <c r="A1543" s="11"/>
      <c r="B1543" s="11"/>
      <c r="C1543" s="11"/>
      <c r="D1543" s="24"/>
      <c r="E1543" s="11"/>
      <c r="F1543" s="24"/>
      <c r="G1543" s="11"/>
      <c r="H1543" s="11"/>
    </row>
    <row r="1544" spans="1:8" ht="12.75" hidden="1">
      <c r="A1544" s="11"/>
      <c r="B1544" s="11"/>
      <c r="C1544" s="11"/>
      <c r="D1544" s="24"/>
      <c r="E1544" s="11"/>
      <c r="F1544" s="24"/>
      <c r="G1544" s="11"/>
      <c r="H1544" s="11"/>
    </row>
    <row r="1545" spans="1:8" ht="12.75" hidden="1">
      <c r="A1545" s="11"/>
      <c r="B1545" s="11"/>
      <c r="C1545" s="11"/>
      <c r="D1545" s="24"/>
      <c r="E1545" s="11"/>
      <c r="F1545" s="24"/>
      <c r="G1545" s="11"/>
      <c r="H1545" s="11"/>
    </row>
    <row r="1546" spans="1:8" ht="12.75" hidden="1">
      <c r="A1546" s="11"/>
      <c r="B1546" s="11"/>
      <c r="C1546" s="11"/>
      <c r="D1546" s="24"/>
      <c r="E1546" s="11"/>
      <c r="F1546" s="24"/>
      <c r="G1546" s="11"/>
      <c r="H1546" s="11"/>
    </row>
    <row r="1547" spans="1:8" ht="12.75" hidden="1">
      <c r="A1547" s="11"/>
      <c r="B1547" s="11"/>
      <c r="C1547" s="11"/>
      <c r="D1547" s="24"/>
      <c r="E1547" s="11"/>
      <c r="F1547" s="24"/>
      <c r="G1547" s="11"/>
      <c r="H1547" s="11"/>
    </row>
    <row r="1548" spans="1:8" ht="12.75" hidden="1">
      <c r="A1548" s="11"/>
      <c r="B1548" s="11"/>
      <c r="C1548" s="11"/>
      <c r="D1548" s="24"/>
      <c r="E1548" s="11"/>
      <c r="F1548" s="24"/>
      <c r="G1548" s="11"/>
      <c r="H1548" s="11"/>
    </row>
    <row r="1549" spans="1:8" ht="12.75" hidden="1">
      <c r="A1549" s="11"/>
      <c r="B1549" s="11"/>
      <c r="C1549" s="11"/>
      <c r="D1549" s="24"/>
      <c r="E1549" s="11"/>
      <c r="F1549" s="24"/>
      <c r="G1549" s="11"/>
      <c r="H1549" s="11"/>
    </row>
    <row r="1550" spans="1:8" ht="12.75" hidden="1">
      <c r="A1550" s="11"/>
      <c r="B1550" s="11"/>
      <c r="C1550" s="11"/>
      <c r="D1550" s="24"/>
      <c r="E1550" s="11"/>
      <c r="F1550" s="24"/>
      <c r="G1550" s="11"/>
      <c r="H1550" s="11"/>
    </row>
    <row r="1551" spans="1:8" ht="12.75" hidden="1">
      <c r="A1551" s="11"/>
      <c r="B1551" s="11"/>
      <c r="C1551" s="11"/>
      <c r="D1551" s="24"/>
      <c r="E1551" s="11"/>
      <c r="F1551" s="24"/>
      <c r="G1551" s="11"/>
      <c r="H1551" s="11"/>
    </row>
    <row r="1552" spans="1:8" ht="12.75" hidden="1">
      <c r="A1552" s="11"/>
      <c r="B1552" s="11"/>
      <c r="C1552" s="11"/>
      <c r="D1552" s="24"/>
      <c r="E1552" s="11"/>
      <c r="F1552" s="24"/>
      <c r="G1552" s="11"/>
      <c r="H1552" s="11"/>
    </row>
    <row r="1553" spans="1:8" ht="12.75" hidden="1">
      <c r="A1553" s="11"/>
      <c r="B1553" s="11"/>
      <c r="C1553" s="11"/>
      <c r="D1553" s="24"/>
      <c r="E1553" s="11"/>
      <c r="F1553" s="24"/>
      <c r="G1553" s="11"/>
      <c r="H1553" s="11"/>
    </row>
    <row r="1554" spans="1:8" ht="12.75" hidden="1">
      <c r="A1554" s="11"/>
      <c r="B1554" s="11"/>
      <c r="C1554" s="11"/>
      <c r="D1554" s="24"/>
      <c r="E1554" s="11"/>
      <c r="F1554" s="24"/>
      <c r="G1554" s="11"/>
      <c r="H1554" s="11"/>
    </row>
    <row r="1555" spans="1:8" ht="12.75" hidden="1">
      <c r="A1555" s="11"/>
      <c r="B1555" s="11"/>
      <c r="C1555" s="11"/>
      <c r="D1555" s="24"/>
      <c r="E1555" s="11"/>
      <c r="F1555" s="24"/>
      <c r="G1555" s="11"/>
      <c r="H1555" s="11"/>
    </row>
    <row r="1556" spans="1:8" ht="12.75" hidden="1">
      <c r="A1556" s="11"/>
      <c r="B1556" s="11"/>
      <c r="C1556" s="11"/>
      <c r="D1556" s="24"/>
      <c r="E1556" s="11"/>
      <c r="F1556" s="24"/>
      <c r="G1556" s="11"/>
      <c r="H1556" s="11"/>
    </row>
    <row r="1557" spans="1:8" ht="12.75" hidden="1">
      <c r="A1557" s="11"/>
      <c r="B1557" s="11"/>
      <c r="C1557" s="11"/>
      <c r="D1557" s="24"/>
      <c r="E1557" s="11"/>
      <c r="F1557" s="24"/>
      <c r="G1557" s="11"/>
      <c r="H1557" s="11"/>
    </row>
    <row r="1558" spans="1:8" ht="12.75" hidden="1">
      <c r="A1558" s="11"/>
      <c r="B1558" s="11"/>
      <c r="C1558" s="11"/>
      <c r="D1558" s="24"/>
      <c r="E1558" s="11"/>
      <c r="F1558" s="24"/>
      <c r="G1558" s="11"/>
      <c r="H1558" s="11"/>
    </row>
    <row r="1559" spans="1:8" ht="12.75" hidden="1">
      <c r="A1559" s="11"/>
      <c r="B1559" s="11"/>
      <c r="C1559" s="11"/>
      <c r="D1559" s="24"/>
      <c r="E1559" s="11"/>
      <c r="F1559" s="24"/>
      <c r="G1559" s="11"/>
      <c r="H1559" s="11"/>
    </row>
    <row r="1560" spans="1:8" ht="12.75" hidden="1">
      <c r="A1560" s="11"/>
      <c r="B1560" s="11"/>
      <c r="C1560" s="11"/>
      <c r="D1560" s="24"/>
      <c r="E1560" s="11"/>
      <c r="F1560" s="24"/>
      <c r="G1560" s="11"/>
      <c r="H1560" s="11"/>
    </row>
    <row r="1561" spans="1:8" ht="12.75" hidden="1">
      <c r="A1561" s="11"/>
      <c r="B1561" s="11"/>
      <c r="C1561" s="11"/>
      <c r="D1561" s="24"/>
      <c r="E1561" s="11"/>
      <c r="F1561" s="24"/>
      <c r="G1561" s="11"/>
      <c r="H1561" s="11"/>
    </row>
    <row r="1562" spans="1:8" ht="12.75" hidden="1">
      <c r="A1562" s="11"/>
      <c r="B1562" s="11"/>
      <c r="C1562" s="11"/>
      <c r="D1562" s="24"/>
      <c r="E1562" s="11"/>
      <c r="F1562" s="24"/>
      <c r="G1562" s="11"/>
      <c r="H1562" s="11"/>
    </row>
    <row r="1563" spans="1:8" ht="12.75" hidden="1">
      <c r="A1563" s="11"/>
      <c r="B1563" s="11"/>
      <c r="C1563" s="11"/>
      <c r="D1563" s="24"/>
      <c r="E1563" s="11"/>
      <c r="F1563" s="24"/>
      <c r="G1563" s="11"/>
      <c r="H1563" s="11"/>
    </row>
    <row r="1564" spans="1:8" ht="12.75" hidden="1">
      <c r="A1564" s="11"/>
      <c r="B1564" s="11"/>
      <c r="C1564" s="11"/>
      <c r="D1564" s="24"/>
      <c r="E1564" s="11"/>
      <c r="F1564" s="24"/>
      <c r="G1564" s="11"/>
      <c r="H1564" s="11"/>
    </row>
    <row r="1565" spans="1:8" ht="12.75" hidden="1">
      <c r="A1565" s="11"/>
      <c r="B1565" s="11"/>
      <c r="C1565" s="11"/>
      <c r="D1565" s="24"/>
      <c r="E1565" s="11"/>
      <c r="F1565" s="24"/>
      <c r="G1565" s="11"/>
      <c r="H1565" s="11"/>
    </row>
    <row r="1566" spans="1:8" ht="12.75" hidden="1">
      <c r="A1566" s="11"/>
      <c r="B1566" s="11"/>
      <c r="C1566" s="11"/>
      <c r="D1566" s="24"/>
      <c r="E1566" s="11"/>
      <c r="F1566" s="24"/>
      <c r="G1566" s="11"/>
      <c r="H1566" s="11"/>
    </row>
    <row r="1567" spans="1:8" ht="12.75" hidden="1">
      <c r="A1567" s="11"/>
      <c r="B1567" s="11"/>
      <c r="C1567" s="11"/>
      <c r="D1567" s="24"/>
      <c r="E1567" s="11"/>
      <c r="F1567" s="24"/>
      <c r="G1567" s="11"/>
      <c r="H1567" s="11"/>
    </row>
    <row r="1568" spans="1:8" ht="12.75" hidden="1">
      <c r="A1568" s="11"/>
      <c r="B1568" s="11"/>
      <c r="C1568" s="11"/>
      <c r="D1568" s="24"/>
      <c r="E1568" s="11"/>
      <c r="F1568" s="24"/>
      <c r="G1568" s="11"/>
      <c r="H1568" s="11"/>
    </row>
    <row r="1569" spans="1:8" ht="12.75" hidden="1">
      <c r="A1569" s="11"/>
      <c r="B1569" s="11"/>
      <c r="C1569" s="11"/>
      <c r="D1569" s="24"/>
      <c r="E1569" s="11"/>
      <c r="F1569" s="24"/>
      <c r="G1569" s="11"/>
      <c r="H1569" s="11"/>
    </row>
    <row r="1570" spans="1:8" ht="12.75" hidden="1">
      <c r="A1570" s="11"/>
      <c r="B1570" s="11"/>
      <c r="C1570" s="11"/>
      <c r="D1570" s="24"/>
      <c r="E1570" s="11"/>
      <c r="F1570" s="24"/>
      <c r="G1570" s="11"/>
      <c r="H1570" s="11"/>
    </row>
    <row r="1571" spans="1:8" ht="12.75" hidden="1">
      <c r="A1571" s="11"/>
      <c r="B1571" s="11"/>
      <c r="C1571" s="11"/>
      <c r="D1571" s="24"/>
      <c r="E1571" s="11"/>
      <c r="F1571" s="24"/>
      <c r="G1571" s="11"/>
      <c r="H1571" s="11"/>
    </row>
    <row r="1572" spans="1:8" ht="12.75" hidden="1">
      <c r="A1572" s="11"/>
      <c r="B1572" s="11"/>
      <c r="C1572" s="11"/>
      <c r="D1572" s="24"/>
      <c r="E1572" s="11"/>
      <c r="F1572" s="24"/>
      <c r="G1572" s="11"/>
      <c r="H1572" s="11"/>
    </row>
    <row r="1573" spans="1:8" ht="12.75" hidden="1">
      <c r="A1573" s="11"/>
      <c r="B1573" s="11"/>
      <c r="C1573" s="11"/>
      <c r="D1573" s="24"/>
      <c r="E1573" s="11"/>
      <c r="F1573" s="24"/>
      <c r="G1573" s="11"/>
      <c r="H1573" s="11"/>
    </row>
    <row r="1574" spans="1:8" ht="12.75" hidden="1">
      <c r="A1574" s="11"/>
      <c r="B1574" s="11"/>
      <c r="C1574" s="11"/>
      <c r="D1574" s="24"/>
      <c r="E1574" s="11"/>
      <c r="F1574" s="24"/>
      <c r="G1574" s="11"/>
      <c r="H1574" s="11"/>
    </row>
    <row r="1575" spans="1:8" ht="12.75" hidden="1">
      <c r="A1575" s="11"/>
      <c r="B1575" s="11"/>
      <c r="C1575" s="11"/>
      <c r="D1575" s="24"/>
      <c r="E1575" s="11"/>
      <c r="F1575" s="24"/>
      <c r="G1575" s="11"/>
      <c r="H1575" s="11"/>
    </row>
    <row r="1576" spans="1:8" ht="12.75" hidden="1">
      <c r="A1576" s="11"/>
      <c r="B1576" s="11"/>
      <c r="C1576" s="11"/>
      <c r="D1576" s="24"/>
      <c r="E1576" s="11"/>
      <c r="F1576" s="24"/>
      <c r="G1576" s="11"/>
      <c r="H1576" s="11"/>
    </row>
    <row r="1577" spans="1:8" ht="12.75" hidden="1">
      <c r="A1577" s="11"/>
      <c r="B1577" s="11"/>
      <c r="C1577" s="11"/>
      <c r="D1577" s="24"/>
      <c r="E1577" s="11"/>
      <c r="F1577" s="24"/>
      <c r="G1577" s="11"/>
      <c r="H1577" s="11"/>
    </row>
    <row r="1578" spans="1:8" ht="12.75" hidden="1">
      <c r="A1578" s="11"/>
      <c r="B1578" s="11"/>
      <c r="C1578" s="11"/>
      <c r="D1578" s="24"/>
      <c r="E1578" s="11"/>
      <c r="F1578" s="24"/>
      <c r="G1578" s="11"/>
      <c r="H1578" s="11"/>
    </row>
    <row r="1579" spans="1:8" ht="12.75" hidden="1">
      <c r="A1579" s="11"/>
      <c r="B1579" s="11"/>
      <c r="C1579" s="11"/>
      <c r="D1579" s="24"/>
      <c r="E1579" s="11"/>
      <c r="F1579" s="24"/>
      <c r="G1579" s="11"/>
      <c r="H1579" s="11"/>
    </row>
    <row r="1580" spans="1:8" ht="12.75" hidden="1">
      <c r="A1580" s="11"/>
      <c r="B1580" s="11"/>
      <c r="C1580" s="11"/>
      <c r="D1580" s="24"/>
      <c r="E1580" s="11"/>
      <c r="F1580" s="24"/>
      <c r="G1580" s="11"/>
      <c r="H1580" s="11"/>
    </row>
    <row r="1581" spans="1:8" ht="12.75" hidden="1">
      <c r="A1581" s="11"/>
      <c r="B1581" s="11"/>
      <c r="C1581" s="11"/>
      <c r="D1581" s="24"/>
      <c r="E1581" s="11"/>
      <c r="F1581" s="24"/>
      <c r="G1581" s="11"/>
      <c r="H1581" s="11"/>
    </row>
    <row r="1582" spans="1:8" ht="12.75" hidden="1">
      <c r="A1582" s="11"/>
      <c r="B1582" s="11"/>
      <c r="C1582" s="11"/>
      <c r="D1582" s="24"/>
      <c r="E1582" s="11"/>
      <c r="F1582" s="24"/>
      <c r="G1582" s="11"/>
      <c r="H1582" s="11"/>
    </row>
    <row r="1583" spans="1:8" ht="12.75" hidden="1">
      <c r="A1583" s="11"/>
      <c r="B1583" s="11"/>
      <c r="C1583" s="11"/>
      <c r="D1583" s="24"/>
      <c r="E1583" s="11"/>
      <c r="F1583" s="24"/>
      <c r="G1583" s="11"/>
      <c r="H1583" s="11"/>
    </row>
    <row r="1584" spans="1:8" ht="12.75" hidden="1">
      <c r="A1584" s="11"/>
      <c r="B1584" s="11"/>
      <c r="C1584" s="11"/>
      <c r="D1584" s="24"/>
      <c r="E1584" s="11"/>
      <c r="F1584" s="24"/>
      <c r="G1584" s="11"/>
      <c r="H1584" s="11"/>
    </row>
    <row r="1585" spans="1:8" ht="12.75" hidden="1">
      <c r="A1585" s="11"/>
      <c r="B1585" s="11"/>
      <c r="C1585" s="11"/>
      <c r="D1585" s="24"/>
      <c r="E1585" s="11"/>
      <c r="F1585" s="24"/>
      <c r="G1585" s="11"/>
      <c r="H1585" s="11"/>
    </row>
    <row r="1586" spans="1:8" ht="12.75" hidden="1">
      <c r="A1586" s="11"/>
      <c r="B1586" s="11"/>
      <c r="C1586" s="11"/>
      <c r="D1586" s="24"/>
      <c r="E1586" s="11"/>
      <c r="F1586" s="24"/>
      <c r="G1586" s="11"/>
      <c r="H1586" s="11"/>
    </row>
    <row r="1587" spans="1:8" ht="12.75" hidden="1">
      <c r="A1587" s="11"/>
      <c r="B1587" s="11"/>
      <c r="C1587" s="11"/>
      <c r="D1587" s="24"/>
      <c r="E1587" s="11"/>
      <c r="F1587" s="24"/>
      <c r="G1587" s="11"/>
      <c r="H1587" s="11"/>
    </row>
    <row r="1588" spans="1:8" ht="12.75" hidden="1">
      <c r="A1588" s="11"/>
      <c r="B1588" s="11"/>
      <c r="C1588" s="11"/>
      <c r="D1588" s="24"/>
      <c r="E1588" s="11"/>
      <c r="F1588" s="24"/>
      <c r="G1588" s="11"/>
      <c r="H1588" s="11"/>
    </row>
    <row r="1589" spans="1:8" ht="12.75" hidden="1">
      <c r="A1589" s="11"/>
      <c r="B1589" s="11"/>
      <c r="C1589" s="11"/>
      <c r="D1589" s="24"/>
      <c r="E1589" s="11"/>
      <c r="F1589" s="24"/>
      <c r="G1589" s="11"/>
      <c r="H1589" s="11"/>
    </row>
    <row r="1590" spans="1:8" ht="12.75" hidden="1">
      <c r="A1590" s="11"/>
      <c r="B1590" s="11"/>
      <c r="C1590" s="11"/>
      <c r="D1590" s="24"/>
      <c r="E1590" s="11"/>
      <c r="F1590" s="24"/>
      <c r="G1590" s="11"/>
      <c r="H1590" s="11"/>
    </row>
    <row r="1591" spans="1:8" ht="12.75" hidden="1">
      <c r="A1591" s="11"/>
      <c r="B1591" s="11"/>
      <c r="C1591" s="11"/>
      <c r="D1591" s="24"/>
      <c r="E1591" s="11"/>
      <c r="F1591" s="24"/>
      <c r="G1591" s="11"/>
      <c r="H1591" s="11"/>
    </row>
    <row r="1592" spans="1:8" ht="12.75" hidden="1">
      <c r="A1592" s="11"/>
      <c r="B1592" s="11"/>
      <c r="C1592" s="11"/>
      <c r="D1592" s="24"/>
      <c r="E1592" s="11"/>
      <c r="F1592" s="24"/>
      <c r="G1592" s="11"/>
      <c r="H1592" s="11"/>
    </row>
    <row r="1593" spans="1:8" ht="12.75" hidden="1">
      <c r="A1593" s="11"/>
      <c r="B1593" s="11"/>
      <c r="C1593" s="11"/>
      <c r="D1593" s="24"/>
      <c r="E1593" s="11"/>
      <c r="F1593" s="24"/>
      <c r="G1593" s="11"/>
      <c r="H1593" s="11"/>
    </row>
    <row r="1594" spans="1:8" ht="12.75" hidden="1">
      <c r="A1594" s="11"/>
      <c r="B1594" s="11"/>
      <c r="C1594" s="11"/>
      <c r="D1594" s="24"/>
      <c r="E1594" s="11"/>
      <c r="F1594" s="24"/>
      <c r="G1594" s="11"/>
      <c r="H1594" s="11"/>
    </row>
    <row r="1595" spans="1:8" ht="12.75" hidden="1">
      <c r="A1595" s="11"/>
      <c r="B1595" s="11"/>
      <c r="C1595" s="11"/>
      <c r="D1595" s="24"/>
      <c r="E1595" s="11"/>
      <c r="F1595" s="24"/>
      <c r="G1595" s="11"/>
      <c r="H1595" s="11"/>
    </row>
    <row r="1596" spans="1:8" ht="12.75" hidden="1">
      <c r="A1596" s="11"/>
      <c r="B1596" s="11"/>
      <c r="C1596" s="11"/>
      <c r="D1596" s="24"/>
      <c r="E1596" s="11"/>
      <c r="F1596" s="24"/>
      <c r="G1596" s="11"/>
      <c r="H1596" s="11"/>
    </row>
    <row r="1597" spans="1:8" ht="12.75" hidden="1">
      <c r="A1597" s="11"/>
      <c r="B1597" s="11"/>
      <c r="C1597" s="11"/>
      <c r="D1597" s="24"/>
      <c r="E1597" s="11"/>
      <c r="F1597" s="24"/>
      <c r="G1597" s="11"/>
      <c r="H1597" s="11"/>
    </row>
    <row r="1598" spans="1:8" ht="12.75" hidden="1">
      <c r="A1598" s="11"/>
      <c r="B1598" s="11"/>
      <c r="C1598" s="11"/>
      <c r="D1598" s="24"/>
      <c r="E1598" s="11"/>
      <c r="F1598" s="24"/>
      <c r="G1598" s="11"/>
      <c r="H1598" s="11"/>
    </row>
    <row r="1599" spans="1:8" ht="12.75" hidden="1">
      <c r="A1599" s="11"/>
      <c r="B1599" s="11"/>
      <c r="C1599" s="11"/>
      <c r="D1599" s="24"/>
      <c r="E1599" s="11"/>
      <c r="F1599" s="24"/>
      <c r="G1599" s="11"/>
      <c r="H1599" s="11"/>
    </row>
    <row r="1600" spans="1:8" ht="12.75" hidden="1">
      <c r="A1600" s="11"/>
      <c r="B1600" s="11"/>
      <c r="C1600" s="11"/>
      <c r="D1600" s="24"/>
      <c r="E1600" s="11"/>
      <c r="F1600" s="24"/>
      <c r="G1600" s="11"/>
      <c r="H1600" s="11"/>
    </row>
    <row r="1601" spans="1:8" ht="12.75" hidden="1">
      <c r="A1601" s="11"/>
      <c r="B1601" s="11"/>
      <c r="C1601" s="11"/>
      <c r="D1601" s="24"/>
      <c r="E1601" s="11"/>
      <c r="F1601" s="24"/>
      <c r="G1601" s="11"/>
      <c r="H1601" s="11"/>
    </row>
    <row r="1602" spans="1:8" ht="12.75" hidden="1">
      <c r="A1602" s="11"/>
      <c r="B1602" s="11"/>
      <c r="C1602" s="11"/>
      <c r="D1602" s="24"/>
      <c r="E1602" s="11"/>
      <c r="F1602" s="24"/>
      <c r="G1602" s="11"/>
      <c r="H1602" s="11"/>
    </row>
    <row r="1603" spans="1:8" ht="12.75" hidden="1">
      <c r="A1603" s="11"/>
      <c r="B1603" s="11"/>
      <c r="C1603" s="11"/>
      <c r="D1603" s="24"/>
      <c r="E1603" s="11"/>
      <c r="F1603" s="24"/>
      <c r="G1603" s="11"/>
      <c r="H1603" s="11"/>
    </row>
    <row r="1604" spans="1:8" ht="12.75" hidden="1">
      <c r="A1604" s="11"/>
      <c r="B1604" s="11"/>
      <c r="C1604" s="11"/>
      <c r="D1604" s="24"/>
      <c r="E1604" s="11"/>
      <c r="F1604" s="24"/>
      <c r="G1604" s="11"/>
      <c r="H1604" s="11"/>
    </row>
    <row r="1605" spans="1:8" ht="12.75" hidden="1">
      <c r="A1605" s="11"/>
      <c r="B1605" s="11"/>
      <c r="C1605" s="11"/>
      <c r="D1605" s="24"/>
      <c r="E1605" s="11"/>
      <c r="F1605" s="24"/>
      <c r="G1605" s="11"/>
      <c r="H1605" s="11"/>
    </row>
    <row r="1606" spans="1:8" ht="12.75" hidden="1">
      <c r="A1606" s="11"/>
      <c r="B1606" s="11"/>
      <c r="C1606" s="11"/>
      <c r="D1606" s="24"/>
      <c r="E1606" s="11"/>
      <c r="F1606" s="24"/>
      <c r="G1606" s="11"/>
      <c r="H1606" s="11"/>
    </row>
    <row r="1607" spans="1:8" ht="12.75" hidden="1">
      <c r="A1607" s="11"/>
      <c r="B1607" s="11"/>
      <c r="C1607" s="11"/>
      <c r="D1607" s="24"/>
      <c r="E1607" s="11"/>
      <c r="F1607" s="24"/>
      <c r="G1607" s="11"/>
      <c r="H1607" s="11"/>
    </row>
    <row r="1608" spans="1:8" ht="12.75" hidden="1">
      <c r="A1608" s="11"/>
      <c r="B1608" s="11"/>
      <c r="C1608" s="11"/>
      <c r="D1608" s="24"/>
      <c r="E1608" s="11"/>
      <c r="F1608" s="24"/>
      <c r="G1608" s="11"/>
      <c r="H1608" s="11"/>
    </row>
    <row r="1609" spans="1:8" ht="12.75" hidden="1">
      <c r="A1609" s="11"/>
      <c r="B1609" s="11"/>
      <c r="C1609" s="11"/>
      <c r="D1609" s="24"/>
      <c r="E1609" s="11"/>
      <c r="F1609" s="24"/>
      <c r="G1609" s="11"/>
      <c r="H1609" s="11"/>
    </row>
    <row r="1610" spans="1:8" ht="12.75" hidden="1">
      <c r="A1610" s="11"/>
      <c r="B1610" s="11"/>
      <c r="C1610" s="11"/>
      <c r="D1610" s="24"/>
      <c r="E1610" s="11"/>
      <c r="F1610" s="24"/>
      <c r="G1610" s="11"/>
      <c r="H1610" s="11"/>
    </row>
    <row r="1611" spans="1:8" ht="12.75" hidden="1">
      <c r="A1611" s="11"/>
      <c r="B1611" s="11"/>
      <c r="C1611" s="11"/>
      <c r="D1611" s="24"/>
      <c r="E1611" s="11"/>
      <c r="F1611" s="24"/>
      <c r="G1611" s="11"/>
      <c r="H1611" s="11"/>
    </row>
    <row r="1612" spans="1:8" ht="12.75" hidden="1">
      <c r="A1612" s="11"/>
      <c r="B1612" s="11"/>
      <c r="C1612" s="11"/>
      <c r="D1612" s="24"/>
      <c r="E1612" s="11"/>
      <c r="F1612" s="24"/>
      <c r="G1612" s="11"/>
      <c r="H1612" s="11"/>
    </row>
    <row r="1613" spans="1:8" ht="12.75" hidden="1">
      <c r="A1613" s="11"/>
      <c r="B1613" s="11"/>
      <c r="C1613" s="11"/>
      <c r="D1613" s="24"/>
      <c r="E1613" s="11"/>
      <c r="F1613" s="24"/>
      <c r="G1613" s="11"/>
      <c r="H1613" s="11"/>
    </row>
    <row r="1614" spans="1:8" ht="12.75" hidden="1">
      <c r="A1614" s="11"/>
      <c r="B1614" s="11"/>
      <c r="C1614" s="11"/>
      <c r="D1614" s="24"/>
      <c r="E1614" s="11"/>
      <c r="F1614" s="24"/>
      <c r="G1614" s="11"/>
      <c r="H1614" s="11"/>
    </row>
    <row r="1615" spans="1:8" ht="12.75" hidden="1">
      <c r="A1615" s="11"/>
      <c r="B1615" s="11"/>
      <c r="C1615" s="11"/>
      <c r="D1615" s="24"/>
      <c r="E1615" s="11"/>
      <c r="F1615" s="24"/>
      <c r="G1615" s="11"/>
      <c r="H1615" s="11"/>
    </row>
    <row r="1616" spans="1:8" ht="12.75" hidden="1">
      <c r="A1616" s="11"/>
      <c r="B1616" s="11"/>
      <c r="C1616" s="11"/>
      <c r="D1616" s="24"/>
      <c r="E1616" s="11"/>
      <c r="F1616" s="24"/>
      <c r="G1616" s="11"/>
      <c r="H1616" s="11"/>
    </row>
    <row r="1617" spans="1:8" ht="12.75" hidden="1">
      <c r="A1617" s="11"/>
      <c r="B1617" s="11"/>
      <c r="C1617" s="11"/>
      <c r="D1617" s="24"/>
      <c r="E1617" s="11"/>
      <c r="F1617" s="24"/>
      <c r="G1617" s="11"/>
      <c r="H1617" s="11"/>
    </row>
    <row r="1618" spans="1:8" ht="12.75" hidden="1">
      <c r="A1618" s="11"/>
      <c r="B1618" s="11"/>
      <c r="C1618" s="11"/>
      <c r="D1618" s="24"/>
      <c r="E1618" s="11"/>
      <c r="F1618" s="24"/>
      <c r="G1618" s="11"/>
      <c r="H1618" s="11"/>
    </row>
    <row r="1619" spans="1:8" ht="12.75" hidden="1">
      <c r="A1619" s="11"/>
      <c r="B1619" s="11"/>
      <c r="C1619" s="11"/>
      <c r="D1619" s="24"/>
      <c r="E1619" s="11"/>
      <c r="F1619" s="24"/>
      <c r="G1619" s="11"/>
      <c r="H1619" s="11"/>
    </row>
    <row r="1620" spans="1:8" ht="12.75" hidden="1">
      <c r="A1620" s="11"/>
      <c r="B1620" s="11"/>
      <c r="C1620" s="11"/>
      <c r="D1620" s="24"/>
      <c r="E1620" s="11"/>
      <c r="F1620" s="24"/>
      <c r="G1620" s="11"/>
      <c r="H1620" s="11"/>
    </row>
    <row r="1621" spans="1:8" ht="12.75" hidden="1">
      <c r="A1621" s="11"/>
      <c r="B1621" s="11"/>
      <c r="C1621" s="11"/>
      <c r="D1621" s="24"/>
      <c r="E1621" s="11"/>
      <c r="F1621" s="24"/>
      <c r="G1621" s="11"/>
      <c r="H1621" s="11"/>
    </row>
    <row r="1622" spans="1:8" ht="12.75" hidden="1">
      <c r="A1622" s="11"/>
      <c r="B1622" s="11"/>
      <c r="C1622" s="11"/>
      <c r="D1622" s="24"/>
      <c r="E1622" s="11"/>
      <c r="F1622" s="24"/>
      <c r="G1622" s="11"/>
      <c r="H1622" s="11"/>
    </row>
    <row r="1623" spans="1:8" ht="12.75" hidden="1">
      <c r="A1623" s="11"/>
      <c r="B1623" s="11"/>
      <c r="C1623" s="11"/>
      <c r="D1623" s="24"/>
      <c r="E1623" s="11"/>
      <c r="F1623" s="24"/>
      <c r="G1623" s="11"/>
      <c r="H1623" s="11"/>
    </row>
    <row r="1624" spans="1:8" ht="12.75" hidden="1">
      <c r="A1624" s="11"/>
      <c r="B1624" s="11"/>
      <c r="C1624" s="11"/>
      <c r="D1624" s="24"/>
      <c r="E1624" s="11"/>
      <c r="F1624" s="24"/>
      <c r="G1624" s="11"/>
      <c r="H1624" s="11"/>
    </row>
    <row r="1625" spans="1:8" ht="12.75" hidden="1">
      <c r="A1625" s="11"/>
      <c r="B1625" s="11"/>
      <c r="C1625" s="11"/>
      <c r="D1625" s="24"/>
      <c r="E1625" s="11"/>
      <c r="F1625" s="24"/>
      <c r="G1625" s="11"/>
      <c r="H1625" s="11"/>
    </row>
    <row r="1626" spans="1:8" ht="12.75" hidden="1">
      <c r="A1626" s="11"/>
      <c r="B1626" s="11"/>
      <c r="C1626" s="11"/>
      <c r="D1626" s="24"/>
      <c r="E1626" s="11"/>
      <c r="F1626" s="24"/>
      <c r="G1626" s="11"/>
      <c r="H1626" s="11"/>
    </row>
    <row r="1627" spans="1:8" ht="12.75" hidden="1">
      <c r="A1627" s="11"/>
      <c r="B1627" s="11"/>
      <c r="C1627" s="11"/>
      <c r="D1627" s="24"/>
      <c r="E1627" s="11"/>
      <c r="F1627" s="24"/>
      <c r="G1627" s="11"/>
      <c r="H1627" s="11"/>
    </row>
    <row r="1628" spans="1:8" ht="12.75" hidden="1">
      <c r="A1628" s="11"/>
      <c r="B1628" s="11"/>
      <c r="C1628" s="11"/>
      <c r="D1628" s="24"/>
      <c r="E1628" s="11"/>
      <c r="F1628" s="24"/>
      <c r="G1628" s="11"/>
      <c r="H1628" s="11"/>
    </row>
    <row r="1629" spans="1:8" ht="12.75" hidden="1">
      <c r="A1629" s="11"/>
      <c r="B1629" s="11"/>
      <c r="C1629" s="11"/>
      <c r="D1629" s="24"/>
      <c r="E1629" s="11"/>
      <c r="F1629" s="24"/>
      <c r="G1629" s="11"/>
      <c r="H1629" s="11"/>
    </row>
    <row r="1630" spans="1:8" ht="12.75" hidden="1">
      <c r="A1630" s="11"/>
      <c r="B1630" s="11"/>
      <c r="C1630" s="11"/>
      <c r="D1630" s="24"/>
      <c r="E1630" s="11"/>
      <c r="F1630" s="24"/>
      <c r="G1630" s="11"/>
      <c r="H1630" s="11"/>
    </row>
    <row r="1631" spans="1:8" ht="12.75" hidden="1">
      <c r="A1631" s="11"/>
      <c r="B1631" s="11"/>
      <c r="C1631" s="11"/>
      <c r="D1631" s="24"/>
      <c r="E1631" s="11"/>
      <c r="F1631" s="24"/>
      <c r="G1631" s="11"/>
      <c r="H1631" s="11"/>
    </row>
    <row r="1632" spans="1:8" ht="12.75" hidden="1">
      <c r="A1632" s="11"/>
      <c r="B1632" s="11"/>
      <c r="C1632" s="11"/>
      <c r="D1632" s="24"/>
      <c r="E1632" s="11"/>
      <c r="F1632" s="24"/>
      <c r="G1632" s="11"/>
      <c r="H1632" s="11"/>
    </row>
    <row r="1633" spans="1:8" ht="12.75" hidden="1">
      <c r="A1633" s="11"/>
      <c r="B1633" s="11"/>
      <c r="C1633" s="11"/>
      <c r="D1633" s="24"/>
      <c r="E1633" s="11"/>
      <c r="F1633" s="24"/>
      <c r="G1633" s="11"/>
      <c r="H1633" s="11"/>
    </row>
    <row r="1634" spans="1:8" ht="12.75" hidden="1">
      <c r="A1634" s="11"/>
      <c r="B1634" s="11"/>
      <c r="C1634" s="11"/>
      <c r="D1634" s="24"/>
      <c r="E1634" s="11"/>
      <c r="F1634" s="24"/>
      <c r="G1634" s="11"/>
      <c r="H1634" s="11"/>
    </row>
    <row r="1635" spans="1:8" ht="12.75" hidden="1">
      <c r="A1635" s="11"/>
      <c r="B1635" s="11"/>
      <c r="C1635" s="11"/>
      <c r="D1635" s="24"/>
      <c r="E1635" s="11"/>
      <c r="F1635" s="24"/>
      <c r="G1635" s="11"/>
      <c r="H1635" s="11"/>
    </row>
    <row r="1636" spans="1:8" ht="12.75" hidden="1">
      <c r="A1636" s="11"/>
      <c r="B1636" s="11"/>
      <c r="C1636" s="11"/>
      <c r="D1636" s="24"/>
      <c r="E1636" s="11"/>
      <c r="F1636" s="24"/>
      <c r="G1636" s="11"/>
      <c r="H1636" s="11"/>
    </row>
    <row r="1637" spans="1:8" ht="12.75" hidden="1">
      <c r="A1637" s="11"/>
      <c r="B1637" s="11"/>
      <c r="C1637" s="11"/>
      <c r="D1637" s="24"/>
      <c r="E1637" s="11"/>
      <c r="F1637" s="24"/>
      <c r="G1637" s="11"/>
      <c r="H1637" s="11"/>
    </row>
    <row r="1638" spans="1:8" ht="12.75" hidden="1">
      <c r="A1638" s="11"/>
      <c r="B1638" s="11"/>
      <c r="C1638" s="11"/>
      <c r="D1638" s="24"/>
      <c r="E1638" s="11"/>
      <c r="F1638" s="24"/>
      <c r="G1638" s="11"/>
      <c r="H1638" s="11"/>
    </row>
    <row r="1639" spans="1:8" ht="12.75" hidden="1">
      <c r="A1639" s="11"/>
      <c r="B1639" s="11"/>
      <c r="C1639" s="11"/>
      <c r="D1639" s="24"/>
      <c r="E1639" s="11"/>
      <c r="F1639" s="24"/>
      <c r="G1639" s="11"/>
      <c r="H1639" s="11"/>
    </row>
    <row r="1640" spans="1:8" ht="12.75" hidden="1">
      <c r="A1640" s="11"/>
      <c r="B1640" s="11"/>
      <c r="C1640" s="11"/>
      <c r="D1640" s="24"/>
      <c r="E1640" s="11"/>
      <c r="F1640" s="24"/>
      <c r="G1640" s="11"/>
      <c r="H1640" s="11"/>
    </row>
    <row r="1641" spans="1:8" ht="12.75" hidden="1">
      <c r="A1641" s="11"/>
      <c r="B1641" s="11"/>
      <c r="C1641" s="11"/>
      <c r="D1641" s="24"/>
      <c r="E1641" s="11"/>
      <c r="F1641" s="24"/>
      <c r="G1641" s="11"/>
      <c r="H1641" s="11"/>
    </row>
    <row r="1642" spans="1:8" ht="12.75" hidden="1">
      <c r="A1642" s="11"/>
      <c r="B1642" s="11"/>
      <c r="C1642" s="11"/>
      <c r="D1642" s="24"/>
      <c r="E1642" s="11"/>
      <c r="F1642" s="24"/>
      <c r="G1642" s="11"/>
      <c r="H1642" s="11"/>
    </row>
    <row r="1643" spans="1:8" ht="12.75" hidden="1">
      <c r="A1643" s="11"/>
      <c r="B1643" s="11"/>
      <c r="C1643" s="11"/>
      <c r="D1643" s="24"/>
      <c r="E1643" s="11"/>
      <c r="F1643" s="24"/>
      <c r="G1643" s="11"/>
      <c r="H1643" s="11"/>
    </row>
    <row r="1644" spans="1:8" ht="12.75" hidden="1">
      <c r="A1644" s="11"/>
      <c r="B1644" s="11"/>
      <c r="C1644" s="11"/>
      <c r="D1644" s="24"/>
      <c r="E1644" s="11"/>
      <c r="F1644" s="24"/>
      <c r="G1644" s="11"/>
      <c r="H1644" s="11"/>
    </row>
    <row r="1645" spans="1:8" ht="12.75" hidden="1">
      <c r="A1645" s="11"/>
      <c r="B1645" s="11"/>
      <c r="C1645" s="11"/>
      <c r="D1645" s="24"/>
      <c r="E1645" s="11"/>
      <c r="F1645" s="24"/>
      <c r="G1645" s="11"/>
      <c r="H1645" s="11"/>
    </row>
    <row r="1646" spans="1:8" ht="12.75" hidden="1">
      <c r="A1646" s="11"/>
      <c r="B1646" s="11"/>
      <c r="C1646" s="11"/>
      <c r="D1646" s="24"/>
      <c r="E1646" s="11"/>
      <c r="F1646" s="24"/>
      <c r="G1646" s="11"/>
      <c r="H1646" s="11"/>
    </row>
    <row r="1647" spans="1:8" ht="12.75" hidden="1">
      <c r="A1647" s="11"/>
      <c r="B1647" s="11"/>
      <c r="C1647" s="11"/>
      <c r="D1647" s="24"/>
      <c r="E1647" s="11"/>
      <c r="F1647" s="24"/>
      <c r="G1647" s="11"/>
      <c r="H1647" s="11"/>
    </row>
    <row r="1648" spans="1:8" ht="12.75" hidden="1">
      <c r="A1648" s="11"/>
      <c r="B1648" s="11"/>
      <c r="C1648" s="11"/>
      <c r="D1648" s="24"/>
      <c r="E1648" s="11"/>
      <c r="F1648" s="24"/>
      <c r="G1648" s="11"/>
      <c r="H1648" s="11"/>
    </row>
    <row r="1649" spans="1:8" ht="12.75" hidden="1">
      <c r="A1649" s="11"/>
      <c r="B1649" s="11"/>
      <c r="C1649" s="11"/>
      <c r="D1649" s="24"/>
      <c r="E1649" s="11"/>
      <c r="F1649" s="24"/>
      <c r="G1649" s="11"/>
      <c r="H1649" s="11"/>
    </row>
    <row r="1650" spans="1:8" ht="12.75" hidden="1">
      <c r="A1650" s="11"/>
      <c r="B1650" s="11"/>
      <c r="C1650" s="11"/>
      <c r="D1650" s="24"/>
      <c r="E1650" s="11"/>
      <c r="F1650" s="24"/>
      <c r="G1650" s="11"/>
      <c r="H1650" s="11"/>
    </row>
    <row r="1651" spans="1:8" ht="12.75" hidden="1">
      <c r="A1651" s="11"/>
      <c r="B1651" s="11"/>
      <c r="C1651" s="11"/>
      <c r="D1651" s="24"/>
      <c r="E1651" s="11"/>
      <c r="F1651" s="24"/>
      <c r="G1651" s="11"/>
      <c r="H1651" s="11"/>
    </row>
    <row r="1652" spans="1:8" ht="12.75" hidden="1">
      <c r="A1652" s="11"/>
      <c r="B1652" s="11"/>
      <c r="C1652" s="11"/>
      <c r="D1652" s="24"/>
      <c r="E1652" s="11"/>
      <c r="F1652" s="24"/>
      <c r="G1652" s="11"/>
      <c r="H1652" s="11"/>
    </row>
    <row r="1653" spans="1:8" ht="12.75" hidden="1">
      <c r="A1653" s="11"/>
      <c r="B1653" s="11"/>
      <c r="C1653" s="11"/>
      <c r="D1653" s="24"/>
      <c r="E1653" s="11"/>
      <c r="F1653" s="24"/>
      <c r="G1653" s="11"/>
      <c r="H1653" s="11"/>
    </row>
    <row r="1654" spans="1:8" ht="12.75" hidden="1">
      <c r="A1654" s="11"/>
      <c r="B1654" s="11"/>
      <c r="C1654" s="11"/>
      <c r="D1654" s="24"/>
      <c r="E1654" s="11"/>
      <c r="F1654" s="24"/>
      <c r="G1654" s="11"/>
      <c r="H1654" s="11"/>
    </row>
    <row r="1655" spans="1:8" ht="12.75" hidden="1">
      <c r="A1655" s="11"/>
      <c r="B1655" s="11"/>
      <c r="C1655" s="11"/>
      <c r="D1655" s="24"/>
      <c r="E1655" s="11"/>
      <c r="F1655" s="24"/>
      <c r="G1655" s="11"/>
      <c r="H1655" s="11"/>
    </row>
    <row r="1656" spans="1:8" ht="12.75" hidden="1">
      <c r="A1656" s="11"/>
      <c r="B1656" s="11"/>
      <c r="C1656" s="11"/>
      <c r="D1656" s="24"/>
      <c r="E1656" s="11"/>
      <c r="F1656" s="24"/>
      <c r="G1656" s="11"/>
      <c r="H1656" s="11"/>
    </row>
    <row r="1657" spans="1:8" ht="12.75" hidden="1">
      <c r="A1657" s="11"/>
      <c r="B1657" s="11"/>
      <c r="C1657" s="11"/>
      <c r="D1657" s="24"/>
      <c r="E1657" s="11"/>
      <c r="F1657" s="24"/>
      <c r="G1657" s="11"/>
      <c r="H1657" s="11"/>
    </row>
    <row r="1658" spans="1:8" ht="12.75" hidden="1">
      <c r="A1658" s="11"/>
      <c r="B1658" s="11"/>
      <c r="C1658" s="11"/>
      <c r="D1658" s="24"/>
      <c r="E1658" s="11"/>
      <c r="F1658" s="24"/>
      <c r="G1658" s="11"/>
      <c r="H1658" s="11"/>
    </row>
    <row r="1659" spans="1:8" ht="12.75" hidden="1">
      <c r="A1659" s="11"/>
      <c r="B1659" s="11"/>
      <c r="C1659" s="11"/>
      <c r="D1659" s="24"/>
      <c r="E1659" s="11"/>
      <c r="F1659" s="24"/>
      <c r="G1659" s="11"/>
      <c r="H1659" s="11"/>
    </row>
    <row r="1660" spans="1:8" ht="12.75" hidden="1">
      <c r="A1660" s="11"/>
      <c r="B1660" s="11"/>
      <c r="C1660" s="11"/>
      <c r="D1660" s="24"/>
      <c r="E1660" s="11"/>
      <c r="F1660" s="24"/>
      <c r="G1660" s="11"/>
      <c r="H1660" s="11"/>
    </row>
    <row r="1661" spans="1:8" ht="12.75" hidden="1">
      <c r="A1661" s="11"/>
      <c r="B1661" s="11"/>
      <c r="C1661" s="11"/>
      <c r="D1661" s="24"/>
      <c r="E1661" s="11"/>
      <c r="F1661" s="24"/>
      <c r="G1661" s="11"/>
      <c r="H1661" s="11"/>
    </row>
    <row r="1662" spans="1:8" ht="12.75" hidden="1">
      <c r="A1662" s="11"/>
      <c r="B1662" s="11"/>
      <c r="C1662" s="11"/>
      <c r="D1662" s="24"/>
      <c r="E1662" s="11"/>
      <c r="F1662" s="24"/>
      <c r="G1662" s="11"/>
      <c r="H1662" s="11"/>
    </row>
    <row r="1663" spans="1:8" ht="12.75" hidden="1">
      <c r="A1663" s="11"/>
      <c r="B1663" s="11"/>
      <c r="C1663" s="11"/>
      <c r="D1663" s="24"/>
      <c r="E1663" s="11"/>
      <c r="F1663" s="24"/>
      <c r="G1663" s="11"/>
      <c r="H1663" s="11"/>
    </row>
    <row r="1664" spans="1:8" ht="12.75" hidden="1">
      <c r="A1664" s="11"/>
      <c r="B1664" s="11"/>
      <c r="C1664" s="11"/>
      <c r="D1664" s="24"/>
      <c r="E1664" s="11"/>
      <c r="F1664" s="24"/>
      <c r="G1664" s="11"/>
      <c r="H1664" s="11"/>
    </row>
    <row r="1665" spans="1:8" ht="12.75" hidden="1">
      <c r="A1665" s="11"/>
      <c r="B1665" s="11"/>
      <c r="C1665" s="11"/>
      <c r="D1665" s="24"/>
      <c r="E1665" s="11"/>
      <c r="F1665" s="24"/>
      <c r="G1665" s="11"/>
      <c r="H1665" s="11"/>
    </row>
    <row r="1666" spans="1:8" ht="12.75" hidden="1">
      <c r="A1666" s="11"/>
      <c r="B1666" s="11"/>
      <c r="C1666" s="11"/>
      <c r="D1666" s="24"/>
      <c r="E1666" s="11"/>
      <c r="F1666" s="24"/>
      <c r="G1666" s="11"/>
      <c r="H1666" s="11"/>
    </row>
    <row r="1667" spans="1:8" ht="12.75" hidden="1">
      <c r="A1667" s="11"/>
      <c r="B1667" s="11"/>
      <c r="C1667" s="11"/>
      <c r="D1667" s="24"/>
      <c r="E1667" s="11"/>
      <c r="F1667" s="24"/>
      <c r="G1667" s="11"/>
      <c r="H1667" s="11"/>
    </row>
    <row r="1668" spans="1:8" ht="12.75" hidden="1">
      <c r="A1668" s="11"/>
      <c r="B1668" s="11"/>
      <c r="C1668" s="11"/>
      <c r="D1668" s="24"/>
      <c r="E1668" s="11"/>
      <c r="F1668" s="24"/>
      <c r="G1668" s="11"/>
      <c r="H1668" s="11"/>
    </row>
    <row r="1669" spans="1:8" ht="12.75" hidden="1">
      <c r="A1669" s="11"/>
      <c r="B1669" s="11"/>
      <c r="C1669" s="11"/>
      <c r="D1669" s="24"/>
      <c r="E1669" s="11"/>
      <c r="F1669" s="24"/>
      <c r="G1669" s="11"/>
      <c r="H1669" s="11"/>
    </row>
    <row r="1670" spans="1:8" ht="12.75" hidden="1">
      <c r="A1670" s="11"/>
      <c r="B1670" s="11"/>
      <c r="C1670" s="11"/>
      <c r="D1670" s="24"/>
      <c r="E1670" s="11"/>
      <c r="F1670" s="24"/>
      <c r="G1670" s="11"/>
      <c r="H1670" s="11"/>
    </row>
    <row r="1671" spans="1:8" ht="12.75" hidden="1">
      <c r="A1671" s="11"/>
      <c r="B1671" s="11"/>
      <c r="C1671" s="11"/>
      <c r="D1671" s="24"/>
      <c r="E1671" s="11"/>
      <c r="F1671" s="24"/>
      <c r="G1671" s="11"/>
      <c r="H1671" s="11"/>
    </row>
    <row r="1672" spans="1:8" ht="12.75" hidden="1">
      <c r="A1672" s="11"/>
      <c r="B1672" s="11"/>
      <c r="C1672" s="11"/>
      <c r="D1672" s="24"/>
      <c r="E1672" s="11"/>
      <c r="F1672" s="24"/>
      <c r="G1672" s="11"/>
      <c r="H1672" s="11"/>
    </row>
    <row r="1673" spans="1:8" ht="12.75" hidden="1">
      <c r="A1673" s="11"/>
      <c r="B1673" s="11"/>
      <c r="C1673" s="11"/>
      <c r="D1673" s="24"/>
      <c r="E1673" s="11"/>
      <c r="F1673" s="24"/>
      <c r="G1673" s="11"/>
      <c r="H1673" s="11"/>
    </row>
    <row r="1674" spans="1:8" ht="12.75" hidden="1">
      <c r="A1674" s="11"/>
      <c r="B1674" s="11"/>
      <c r="C1674" s="11"/>
      <c r="D1674" s="24"/>
      <c r="E1674" s="11"/>
      <c r="F1674" s="24"/>
      <c r="G1674" s="11"/>
      <c r="H1674" s="11"/>
    </row>
    <row r="1675" spans="1:8" ht="12.75" hidden="1">
      <c r="A1675" s="11"/>
      <c r="B1675" s="11"/>
      <c r="C1675" s="11"/>
      <c r="D1675" s="24"/>
      <c r="E1675" s="11"/>
      <c r="F1675" s="24"/>
      <c r="G1675" s="11"/>
      <c r="H1675" s="11"/>
    </row>
    <row r="1676" spans="1:8" ht="12.75" hidden="1">
      <c r="A1676" s="11"/>
      <c r="B1676" s="11"/>
      <c r="C1676" s="11"/>
      <c r="D1676" s="24"/>
      <c r="E1676" s="11"/>
      <c r="F1676" s="24"/>
      <c r="G1676" s="11"/>
      <c r="H1676" s="11"/>
    </row>
    <row r="1677" spans="1:8" ht="12.75" hidden="1">
      <c r="A1677" s="11"/>
      <c r="B1677" s="11"/>
      <c r="C1677" s="11"/>
      <c r="D1677" s="24"/>
      <c r="E1677" s="11"/>
      <c r="F1677" s="24"/>
      <c r="G1677" s="11"/>
      <c r="H1677" s="11"/>
    </row>
    <row r="1678" spans="1:8" ht="12.75" hidden="1">
      <c r="A1678" s="11"/>
      <c r="B1678" s="11"/>
      <c r="C1678" s="11"/>
      <c r="D1678" s="24"/>
      <c r="E1678" s="11"/>
      <c r="F1678" s="24"/>
      <c r="G1678" s="11"/>
      <c r="H1678" s="11"/>
    </row>
    <row r="1679" spans="1:8" ht="12.75" hidden="1">
      <c r="A1679" s="11"/>
      <c r="B1679" s="11"/>
      <c r="C1679" s="11"/>
      <c r="D1679" s="24"/>
      <c r="E1679" s="11"/>
      <c r="F1679" s="24"/>
      <c r="G1679" s="11"/>
      <c r="H1679" s="11"/>
    </row>
    <row r="1680" spans="1:8" ht="12.75" hidden="1">
      <c r="A1680" s="11"/>
      <c r="B1680" s="11"/>
      <c r="C1680" s="11"/>
      <c r="D1680" s="24"/>
      <c r="E1680" s="11"/>
      <c r="F1680" s="24"/>
      <c r="G1680" s="11"/>
      <c r="H1680" s="11"/>
    </row>
    <row r="1681" spans="1:8" ht="12.75" hidden="1">
      <c r="A1681" s="11"/>
      <c r="B1681" s="11"/>
      <c r="C1681" s="11"/>
      <c r="D1681" s="24"/>
      <c r="E1681" s="11"/>
      <c r="F1681" s="24"/>
      <c r="G1681" s="11"/>
      <c r="H1681" s="11"/>
    </row>
    <row r="1682" spans="1:8" ht="12.75" hidden="1">
      <c r="A1682" s="11"/>
      <c r="B1682" s="11"/>
      <c r="C1682" s="11"/>
      <c r="D1682" s="24"/>
      <c r="E1682" s="11"/>
      <c r="F1682" s="24"/>
      <c r="G1682" s="11"/>
      <c r="H1682" s="11"/>
    </row>
    <row r="1683" spans="1:8" ht="12.75" hidden="1">
      <c r="A1683" s="11"/>
      <c r="B1683" s="11"/>
      <c r="C1683" s="11"/>
      <c r="D1683" s="24"/>
      <c r="E1683" s="11"/>
      <c r="F1683" s="24"/>
      <c r="G1683" s="11"/>
      <c r="H1683" s="11"/>
    </row>
    <row r="1684" spans="1:8" ht="12.75" hidden="1">
      <c r="A1684" s="11"/>
      <c r="B1684" s="11"/>
      <c r="C1684" s="11"/>
      <c r="D1684" s="24"/>
      <c r="E1684" s="11"/>
      <c r="F1684" s="24"/>
      <c r="G1684" s="11"/>
      <c r="H1684" s="11"/>
    </row>
    <row r="1685" spans="1:8" ht="12.75" hidden="1">
      <c r="A1685" s="11"/>
      <c r="B1685" s="11"/>
      <c r="C1685" s="11"/>
      <c r="D1685" s="24"/>
      <c r="E1685" s="11"/>
      <c r="F1685" s="24"/>
      <c r="G1685" s="11"/>
      <c r="H1685" s="11"/>
    </row>
    <row r="1686" spans="1:8" ht="12.75" hidden="1">
      <c r="A1686" s="11"/>
      <c r="B1686" s="11"/>
      <c r="C1686" s="11"/>
      <c r="D1686" s="24"/>
      <c r="E1686" s="11"/>
      <c r="F1686" s="24"/>
      <c r="G1686" s="11"/>
      <c r="H1686" s="11"/>
    </row>
    <row r="1687" spans="1:8" ht="12.75" hidden="1">
      <c r="A1687" s="11"/>
      <c r="B1687" s="11"/>
      <c r="C1687" s="11"/>
      <c r="D1687" s="24"/>
      <c r="E1687" s="11"/>
      <c r="F1687" s="24"/>
      <c r="G1687" s="11"/>
      <c r="H1687" s="11"/>
    </row>
    <row r="1688" spans="1:8" ht="12.75" hidden="1">
      <c r="A1688" s="11"/>
      <c r="B1688" s="11"/>
      <c r="C1688" s="11"/>
      <c r="D1688" s="24"/>
      <c r="E1688" s="11"/>
      <c r="F1688" s="24"/>
      <c r="G1688" s="11"/>
      <c r="H1688" s="11"/>
    </row>
    <row r="1689" spans="1:8" ht="12.75" hidden="1">
      <c r="A1689" s="11"/>
      <c r="B1689" s="11"/>
      <c r="C1689" s="11"/>
      <c r="D1689" s="24"/>
      <c r="E1689" s="11"/>
      <c r="F1689" s="24"/>
      <c r="G1689" s="11"/>
      <c r="H1689" s="11"/>
    </row>
    <row r="1690" spans="1:8" ht="12.75" hidden="1">
      <c r="A1690" s="11"/>
      <c r="B1690" s="11"/>
      <c r="C1690" s="11"/>
      <c r="D1690" s="24"/>
      <c r="E1690" s="11"/>
      <c r="F1690" s="24"/>
      <c r="G1690" s="11"/>
      <c r="H1690" s="11"/>
    </row>
    <row r="1691" spans="1:8" ht="12.75" hidden="1">
      <c r="A1691" s="11"/>
      <c r="B1691" s="11"/>
      <c r="C1691" s="11"/>
      <c r="D1691" s="24"/>
      <c r="E1691" s="11"/>
      <c r="F1691" s="24"/>
      <c r="G1691" s="11"/>
      <c r="H1691" s="11"/>
    </row>
    <row r="1692" spans="1:8" ht="12.75" hidden="1">
      <c r="A1692" s="11"/>
      <c r="B1692" s="11"/>
      <c r="C1692" s="11"/>
      <c r="D1692" s="24"/>
      <c r="E1692" s="11"/>
      <c r="F1692" s="24"/>
      <c r="G1692" s="11"/>
      <c r="H1692" s="11"/>
    </row>
    <row r="1693" spans="1:8" ht="12.75" hidden="1">
      <c r="A1693" s="11"/>
      <c r="B1693" s="11"/>
      <c r="C1693" s="11"/>
      <c r="D1693" s="24"/>
      <c r="E1693" s="11"/>
      <c r="F1693" s="24"/>
      <c r="G1693" s="11"/>
      <c r="H1693" s="11"/>
    </row>
    <row r="1694" spans="1:8" ht="12.75" hidden="1">
      <c r="A1694" s="11"/>
      <c r="B1694" s="11"/>
      <c r="C1694" s="11"/>
      <c r="D1694" s="24"/>
      <c r="E1694" s="11"/>
      <c r="F1694" s="24"/>
      <c r="G1694" s="11"/>
      <c r="H1694" s="11"/>
    </row>
    <row r="1695" spans="1:8" ht="12.75" hidden="1">
      <c r="A1695" s="11"/>
      <c r="B1695" s="11"/>
      <c r="C1695" s="11"/>
      <c r="D1695" s="24"/>
      <c r="E1695" s="11"/>
      <c r="F1695" s="24"/>
      <c r="G1695" s="11"/>
      <c r="H1695" s="11"/>
    </row>
    <row r="1696" spans="1:8" ht="12.75" hidden="1">
      <c r="A1696" s="11"/>
      <c r="B1696" s="11"/>
      <c r="C1696" s="11"/>
      <c r="D1696" s="24"/>
      <c r="E1696" s="11"/>
      <c r="F1696" s="24"/>
      <c r="G1696" s="11"/>
      <c r="H1696" s="11"/>
    </row>
    <row r="1697" spans="1:8" ht="12.75" hidden="1">
      <c r="A1697" s="11"/>
      <c r="B1697" s="11"/>
      <c r="C1697" s="11"/>
      <c r="D1697" s="24"/>
      <c r="E1697" s="11"/>
      <c r="F1697" s="24"/>
      <c r="G1697" s="11"/>
      <c r="H1697" s="11"/>
    </row>
    <row r="1698" spans="1:8" ht="12.75" hidden="1">
      <c r="A1698" s="11"/>
      <c r="B1698" s="11"/>
      <c r="C1698" s="11"/>
      <c r="D1698" s="24"/>
      <c r="E1698" s="11"/>
      <c r="F1698" s="24"/>
      <c r="G1698" s="11"/>
      <c r="H1698" s="11"/>
    </row>
    <row r="1699" spans="1:8" ht="12.75" hidden="1">
      <c r="A1699" s="11"/>
      <c r="B1699" s="11"/>
      <c r="C1699" s="11"/>
      <c r="D1699" s="24"/>
      <c r="E1699" s="11"/>
      <c r="F1699" s="24"/>
      <c r="G1699" s="11"/>
      <c r="H1699" s="11"/>
    </row>
    <row r="1700" spans="1:8" ht="12.75" hidden="1">
      <c r="A1700" s="11"/>
      <c r="B1700" s="11"/>
      <c r="C1700" s="11"/>
      <c r="D1700" s="24"/>
      <c r="E1700" s="11"/>
      <c r="F1700" s="24"/>
      <c r="G1700" s="11"/>
      <c r="H1700" s="11"/>
    </row>
    <row r="1701" spans="1:8" ht="12.75" hidden="1">
      <c r="A1701" s="11"/>
      <c r="B1701" s="11"/>
      <c r="C1701" s="11"/>
      <c r="D1701" s="24"/>
      <c r="E1701" s="11"/>
      <c r="F1701" s="24"/>
      <c r="G1701" s="11"/>
      <c r="H1701" s="11"/>
    </row>
    <row r="1702" spans="1:8" ht="12.75" hidden="1">
      <c r="A1702" s="11"/>
      <c r="B1702" s="11"/>
      <c r="C1702" s="11"/>
      <c r="D1702" s="24"/>
      <c r="E1702" s="11"/>
      <c r="F1702" s="24"/>
      <c r="G1702" s="11"/>
      <c r="H1702" s="11"/>
    </row>
    <row r="1703" spans="1:8" ht="12.75" hidden="1">
      <c r="A1703" s="11"/>
      <c r="B1703" s="11"/>
      <c r="C1703" s="11"/>
      <c r="D1703" s="24"/>
      <c r="E1703" s="11"/>
      <c r="F1703" s="24"/>
      <c r="G1703" s="11"/>
      <c r="H1703" s="11"/>
    </row>
    <row r="1704" spans="1:8" ht="12.75" hidden="1">
      <c r="A1704" s="11"/>
      <c r="B1704" s="11"/>
      <c r="C1704" s="11"/>
      <c r="D1704" s="24"/>
      <c r="E1704" s="11"/>
      <c r="F1704" s="24"/>
      <c r="G1704" s="11"/>
      <c r="H1704" s="11"/>
    </row>
    <row r="1705" spans="1:8" ht="12.75" hidden="1">
      <c r="A1705" s="11"/>
      <c r="B1705" s="11"/>
      <c r="C1705" s="11"/>
      <c r="D1705" s="24"/>
      <c r="E1705" s="11"/>
      <c r="F1705" s="24"/>
      <c r="G1705" s="11"/>
      <c r="H1705" s="11"/>
    </row>
    <row r="1706" spans="1:8" ht="12.75" hidden="1">
      <c r="A1706" s="11"/>
      <c r="B1706" s="11"/>
      <c r="C1706" s="11"/>
      <c r="D1706" s="24"/>
      <c r="E1706" s="11"/>
      <c r="F1706" s="24"/>
      <c r="G1706" s="11"/>
      <c r="H1706" s="11"/>
    </row>
    <row r="1707" spans="1:8" ht="12.75" hidden="1">
      <c r="A1707" s="11"/>
      <c r="B1707" s="11"/>
      <c r="C1707" s="11"/>
      <c r="D1707" s="24"/>
      <c r="E1707" s="11"/>
      <c r="F1707" s="24"/>
      <c r="G1707" s="11"/>
      <c r="H1707" s="11"/>
    </row>
    <row r="1708" spans="1:8" ht="12.75" hidden="1">
      <c r="A1708" s="11"/>
      <c r="B1708" s="11"/>
      <c r="C1708" s="11"/>
      <c r="D1708" s="24"/>
      <c r="E1708" s="11"/>
      <c r="F1708" s="24"/>
      <c r="G1708" s="11"/>
      <c r="H1708" s="11"/>
    </row>
    <row r="1709" spans="1:8" ht="12.75" hidden="1">
      <c r="A1709" s="11"/>
      <c r="B1709" s="11"/>
      <c r="C1709" s="11"/>
      <c r="D1709" s="24"/>
      <c r="E1709" s="11"/>
      <c r="F1709" s="24"/>
      <c r="G1709" s="11"/>
      <c r="H1709" s="11"/>
    </row>
    <row r="1710" spans="1:8" ht="12.75" hidden="1">
      <c r="A1710" s="11"/>
      <c r="B1710" s="11"/>
      <c r="C1710" s="11"/>
      <c r="D1710" s="24"/>
      <c r="E1710" s="11"/>
      <c r="F1710" s="24"/>
      <c r="G1710" s="11"/>
      <c r="H1710" s="11"/>
    </row>
    <row r="1711" spans="1:8" ht="12.75" hidden="1">
      <c r="A1711" s="11"/>
      <c r="B1711" s="11"/>
      <c r="C1711" s="11"/>
      <c r="D1711" s="24"/>
      <c r="E1711" s="11"/>
      <c r="F1711" s="24"/>
      <c r="G1711" s="11"/>
      <c r="H1711" s="11"/>
    </row>
    <row r="1712" spans="1:8" ht="12.75" hidden="1">
      <c r="A1712" s="11"/>
      <c r="B1712" s="11"/>
      <c r="C1712" s="11"/>
      <c r="D1712" s="24"/>
      <c r="E1712" s="11"/>
      <c r="F1712" s="24"/>
      <c r="G1712" s="11"/>
      <c r="H1712" s="11"/>
    </row>
    <row r="1713" spans="1:8" ht="12.75" hidden="1">
      <c r="A1713" s="11"/>
      <c r="B1713" s="11"/>
      <c r="C1713" s="11"/>
      <c r="D1713" s="24"/>
      <c r="E1713" s="11"/>
      <c r="F1713" s="24"/>
      <c r="G1713" s="11"/>
      <c r="H1713" s="11"/>
    </row>
    <row r="1714" spans="1:8" ht="12.75" hidden="1">
      <c r="A1714" s="11"/>
      <c r="B1714" s="11"/>
      <c r="C1714" s="11"/>
      <c r="D1714" s="24"/>
      <c r="E1714" s="11"/>
      <c r="F1714" s="24"/>
      <c r="G1714" s="11"/>
      <c r="H1714" s="11"/>
    </row>
    <row r="1715" spans="1:8" ht="12.75" hidden="1">
      <c r="A1715" s="11"/>
      <c r="B1715" s="11"/>
      <c r="C1715" s="11"/>
      <c r="D1715" s="24"/>
      <c r="E1715" s="11"/>
      <c r="F1715" s="24"/>
      <c r="G1715" s="11"/>
      <c r="H1715" s="11"/>
    </row>
    <row r="1716" spans="1:8" ht="12.75" hidden="1">
      <c r="A1716" s="11"/>
      <c r="B1716" s="11"/>
      <c r="C1716" s="11"/>
      <c r="D1716" s="24"/>
      <c r="E1716" s="11"/>
      <c r="F1716" s="24"/>
      <c r="G1716" s="11"/>
      <c r="H1716" s="11"/>
    </row>
    <row r="1717" spans="1:8" ht="12.75" hidden="1">
      <c r="A1717" s="11"/>
      <c r="B1717" s="11"/>
      <c r="C1717" s="11"/>
      <c r="D1717" s="24"/>
      <c r="E1717" s="11"/>
      <c r="F1717" s="24"/>
      <c r="G1717" s="11"/>
      <c r="H1717" s="11"/>
    </row>
    <row r="1718" spans="1:8" ht="12.75" hidden="1">
      <c r="A1718" s="11"/>
      <c r="B1718" s="11"/>
      <c r="C1718" s="11"/>
      <c r="D1718" s="24"/>
      <c r="E1718" s="11"/>
      <c r="F1718" s="24"/>
      <c r="G1718" s="11"/>
      <c r="H1718" s="11"/>
    </row>
    <row r="1719" spans="1:8" ht="12.75" hidden="1">
      <c r="A1719" s="11"/>
      <c r="B1719" s="11"/>
      <c r="C1719" s="11"/>
      <c r="D1719" s="24"/>
      <c r="E1719" s="11"/>
      <c r="F1719" s="24"/>
      <c r="G1719" s="11"/>
      <c r="H1719" s="11"/>
    </row>
    <row r="1720" spans="1:8" ht="12.75" hidden="1">
      <c r="A1720" s="11"/>
      <c r="B1720" s="11"/>
      <c r="C1720" s="11"/>
      <c r="D1720" s="24"/>
      <c r="E1720" s="11"/>
      <c r="F1720" s="24"/>
      <c r="G1720" s="11"/>
      <c r="H1720" s="11"/>
    </row>
    <row r="1721" spans="1:8" ht="12.75" hidden="1">
      <c r="A1721" s="11"/>
      <c r="B1721" s="11"/>
      <c r="C1721" s="11"/>
      <c r="D1721" s="24"/>
      <c r="E1721" s="11"/>
      <c r="F1721" s="24"/>
      <c r="G1721" s="11"/>
      <c r="H1721" s="11"/>
    </row>
    <row r="1722" spans="1:8" ht="12.75" hidden="1">
      <c r="A1722" s="11"/>
      <c r="B1722" s="11"/>
      <c r="C1722" s="11"/>
      <c r="D1722" s="24"/>
      <c r="E1722" s="11"/>
      <c r="F1722" s="24"/>
      <c r="G1722" s="11"/>
      <c r="H1722" s="11"/>
    </row>
    <row r="1723" spans="1:8" ht="12.75" hidden="1">
      <c r="A1723" s="11"/>
      <c r="B1723" s="11"/>
      <c r="C1723" s="11"/>
      <c r="D1723" s="24"/>
      <c r="E1723" s="11"/>
      <c r="F1723" s="24"/>
      <c r="G1723" s="11"/>
      <c r="H1723" s="11"/>
    </row>
    <row r="1724" spans="1:8" ht="12.75" hidden="1">
      <c r="A1724" s="11"/>
      <c r="B1724" s="11"/>
      <c r="C1724" s="11"/>
      <c r="D1724" s="24"/>
      <c r="E1724" s="11"/>
      <c r="F1724" s="24"/>
      <c r="G1724" s="11"/>
      <c r="H1724" s="11"/>
    </row>
    <row r="1725" spans="1:8" ht="12.75" hidden="1">
      <c r="A1725" s="11"/>
      <c r="B1725" s="11"/>
      <c r="C1725" s="11"/>
      <c r="D1725" s="24"/>
      <c r="E1725" s="11"/>
      <c r="F1725" s="24"/>
      <c r="G1725" s="11"/>
      <c r="H1725" s="11"/>
    </row>
    <row r="1726" spans="1:8" ht="12.75" hidden="1">
      <c r="A1726" s="11"/>
      <c r="B1726" s="11"/>
      <c r="C1726" s="11"/>
      <c r="D1726" s="24"/>
      <c r="E1726" s="11"/>
      <c r="F1726" s="24"/>
      <c r="G1726" s="11"/>
      <c r="H1726" s="11"/>
    </row>
    <row r="1727" spans="1:8" ht="12.75" hidden="1">
      <c r="A1727" s="11"/>
      <c r="B1727" s="11"/>
      <c r="C1727" s="11"/>
      <c r="D1727" s="24"/>
      <c r="E1727" s="11"/>
      <c r="F1727" s="24"/>
      <c r="G1727" s="11"/>
      <c r="H1727" s="11"/>
    </row>
    <row r="1728" spans="1:8" ht="12.75" hidden="1">
      <c r="A1728" s="11"/>
      <c r="B1728" s="11"/>
      <c r="C1728" s="11"/>
      <c r="D1728" s="24"/>
      <c r="E1728" s="11"/>
      <c r="F1728" s="24"/>
      <c r="G1728" s="11"/>
      <c r="H1728" s="11"/>
    </row>
    <row r="1729" spans="1:8" ht="12.75" hidden="1">
      <c r="A1729" s="11"/>
      <c r="B1729" s="11"/>
      <c r="C1729" s="11"/>
      <c r="D1729" s="24"/>
      <c r="E1729" s="11"/>
      <c r="F1729" s="24"/>
      <c r="G1729" s="11"/>
      <c r="H1729" s="11"/>
    </row>
    <row r="1730" spans="1:8" ht="12.75" hidden="1">
      <c r="A1730" s="11"/>
      <c r="B1730" s="11"/>
      <c r="C1730" s="11"/>
      <c r="D1730" s="24"/>
      <c r="E1730" s="11"/>
      <c r="F1730" s="24"/>
      <c r="G1730" s="11"/>
      <c r="H1730" s="11"/>
    </row>
    <row r="1731" spans="1:8" ht="12.75" hidden="1">
      <c r="A1731" s="11"/>
      <c r="B1731" s="11"/>
      <c r="C1731" s="11"/>
      <c r="D1731" s="24"/>
      <c r="E1731" s="11"/>
      <c r="F1731" s="24"/>
      <c r="G1731" s="11"/>
      <c r="H1731" s="11"/>
    </row>
    <row r="1732" spans="1:8" ht="12.75" hidden="1">
      <c r="A1732" s="11"/>
      <c r="B1732" s="11"/>
      <c r="C1732" s="11"/>
      <c r="D1732" s="24"/>
      <c r="E1732" s="11"/>
      <c r="F1732" s="24"/>
      <c r="G1732" s="11"/>
      <c r="H1732" s="11"/>
    </row>
    <row r="1733" spans="1:8" ht="12.75" hidden="1">
      <c r="A1733" s="11"/>
      <c r="B1733" s="11"/>
      <c r="C1733" s="11"/>
      <c r="D1733" s="24"/>
      <c r="E1733" s="11"/>
      <c r="F1733" s="24"/>
      <c r="G1733" s="11"/>
      <c r="H1733" s="11"/>
    </row>
    <row r="1734" spans="1:8" ht="12.75" hidden="1">
      <c r="A1734" s="11"/>
      <c r="B1734" s="11"/>
      <c r="C1734" s="11"/>
      <c r="D1734" s="24"/>
      <c r="E1734" s="11"/>
      <c r="F1734" s="24"/>
      <c r="G1734" s="11"/>
      <c r="H1734" s="11"/>
    </row>
    <row r="1735" spans="1:8" ht="12.75" hidden="1">
      <c r="A1735" s="11"/>
      <c r="B1735" s="11"/>
      <c r="C1735" s="11"/>
      <c r="D1735" s="24"/>
      <c r="E1735" s="11"/>
      <c r="F1735" s="24"/>
      <c r="G1735" s="11"/>
      <c r="H1735" s="11"/>
    </row>
    <row r="1736" spans="1:8" ht="12.75" hidden="1">
      <c r="A1736" s="11"/>
      <c r="B1736" s="11"/>
      <c r="C1736" s="11"/>
      <c r="D1736" s="24"/>
      <c r="E1736" s="11"/>
      <c r="F1736" s="24"/>
      <c r="G1736" s="11"/>
      <c r="H1736" s="11"/>
    </row>
    <row r="1737" spans="1:8" ht="12.75" hidden="1">
      <c r="A1737" s="11"/>
      <c r="B1737" s="11"/>
      <c r="C1737" s="11"/>
      <c r="D1737" s="24"/>
      <c r="E1737" s="11"/>
      <c r="F1737" s="24"/>
      <c r="G1737" s="11"/>
      <c r="H1737" s="11"/>
    </row>
    <row r="1738" spans="1:8" ht="12.75" hidden="1">
      <c r="A1738" s="11"/>
      <c r="B1738" s="11"/>
      <c r="C1738" s="11"/>
      <c r="D1738" s="24"/>
      <c r="E1738" s="11"/>
      <c r="F1738" s="24"/>
      <c r="G1738" s="11"/>
      <c r="H1738" s="11"/>
    </row>
    <row r="1739" spans="1:8" ht="12.75" hidden="1">
      <c r="A1739" s="11"/>
      <c r="B1739" s="11"/>
      <c r="C1739" s="11"/>
      <c r="D1739" s="24"/>
      <c r="E1739" s="11"/>
      <c r="F1739" s="24"/>
      <c r="G1739" s="11"/>
      <c r="H1739" s="11"/>
    </row>
    <row r="1740" spans="1:8" ht="12.75" hidden="1">
      <c r="A1740" s="11"/>
      <c r="B1740" s="11"/>
      <c r="C1740" s="11"/>
      <c r="D1740" s="24"/>
      <c r="E1740" s="11"/>
      <c r="F1740" s="24"/>
      <c r="G1740" s="11"/>
      <c r="H1740" s="11"/>
    </row>
    <row r="1741" spans="1:8" ht="12.75" hidden="1">
      <c r="A1741" s="11"/>
      <c r="B1741" s="11"/>
      <c r="C1741" s="11"/>
      <c r="D1741" s="24"/>
      <c r="E1741" s="11"/>
      <c r="F1741" s="24"/>
      <c r="G1741" s="11"/>
      <c r="H1741" s="11"/>
    </row>
    <row r="1742" spans="1:8" ht="12.75" hidden="1">
      <c r="A1742" s="11"/>
      <c r="B1742" s="11"/>
      <c r="C1742" s="11"/>
      <c r="D1742" s="24"/>
      <c r="E1742" s="11"/>
      <c r="F1742" s="24"/>
      <c r="G1742" s="11"/>
      <c r="H1742" s="11"/>
    </row>
    <row r="1743" spans="1:8" ht="12.75" hidden="1">
      <c r="A1743" s="11"/>
      <c r="B1743" s="11"/>
      <c r="C1743" s="11"/>
      <c r="D1743" s="24"/>
      <c r="E1743" s="11"/>
      <c r="F1743" s="24"/>
      <c r="G1743" s="11"/>
      <c r="H1743" s="11"/>
    </row>
    <row r="1744" spans="1:8" ht="12.75" hidden="1">
      <c r="A1744" s="11"/>
      <c r="B1744" s="11"/>
      <c r="C1744" s="11"/>
      <c r="D1744" s="24"/>
      <c r="E1744" s="11"/>
      <c r="F1744" s="24"/>
      <c r="G1744" s="11"/>
      <c r="H1744" s="11"/>
    </row>
    <row r="1745" spans="1:8" ht="12.75" hidden="1">
      <c r="A1745" s="11"/>
      <c r="B1745" s="11"/>
      <c r="C1745" s="11"/>
      <c r="D1745" s="24"/>
      <c r="E1745" s="11"/>
      <c r="F1745" s="24"/>
      <c r="G1745" s="11"/>
      <c r="H1745" s="11"/>
    </row>
    <row r="1746" spans="1:8" ht="12.75" hidden="1">
      <c r="A1746" s="11"/>
      <c r="B1746" s="11"/>
      <c r="C1746" s="11"/>
      <c r="D1746" s="24"/>
      <c r="E1746" s="11"/>
      <c r="F1746" s="24"/>
      <c r="G1746" s="11"/>
      <c r="H1746" s="11"/>
    </row>
    <row r="1747" spans="1:8" ht="12.75" hidden="1">
      <c r="A1747" s="11"/>
      <c r="B1747" s="11"/>
      <c r="C1747" s="11"/>
      <c r="D1747" s="24"/>
      <c r="E1747" s="11"/>
      <c r="F1747" s="24"/>
      <c r="G1747" s="11"/>
      <c r="H1747" s="11"/>
    </row>
    <row r="1748" spans="1:8" ht="12.75" hidden="1">
      <c r="A1748" s="11"/>
      <c r="B1748" s="11"/>
      <c r="C1748" s="11"/>
      <c r="D1748" s="24"/>
      <c r="E1748" s="11"/>
      <c r="F1748" s="24"/>
      <c r="G1748" s="11"/>
      <c r="H1748" s="11"/>
    </row>
    <row r="1749" spans="1:8" ht="12.75" hidden="1">
      <c r="A1749" s="11"/>
      <c r="B1749" s="11"/>
      <c r="C1749" s="11"/>
      <c r="D1749" s="24"/>
      <c r="E1749" s="11"/>
      <c r="F1749" s="24"/>
      <c r="G1749" s="11"/>
      <c r="H1749" s="11"/>
    </row>
    <row r="1750" spans="1:8" ht="12.75" hidden="1">
      <c r="A1750" s="11"/>
      <c r="B1750" s="11"/>
      <c r="C1750" s="11"/>
      <c r="D1750" s="24"/>
      <c r="E1750" s="11"/>
      <c r="F1750" s="24"/>
      <c r="G1750" s="11"/>
      <c r="H1750" s="11"/>
    </row>
    <row r="1751" spans="1:8" ht="12.75" hidden="1">
      <c r="A1751" s="11"/>
      <c r="B1751" s="11"/>
      <c r="C1751" s="11"/>
      <c r="D1751" s="24"/>
      <c r="E1751" s="11"/>
      <c r="F1751" s="24"/>
      <c r="G1751" s="11"/>
      <c r="H1751" s="11"/>
    </row>
    <row r="1752" spans="1:8" ht="12.75" hidden="1">
      <c r="A1752" s="11"/>
      <c r="B1752" s="11"/>
      <c r="C1752" s="11"/>
      <c r="D1752" s="24"/>
      <c r="E1752" s="11"/>
      <c r="F1752" s="24"/>
      <c r="G1752" s="11"/>
      <c r="H1752" s="11"/>
    </row>
    <row r="1753" spans="1:8" ht="12.75" hidden="1">
      <c r="A1753" s="11"/>
      <c r="B1753" s="11"/>
      <c r="C1753" s="11"/>
      <c r="D1753" s="24"/>
      <c r="E1753" s="11"/>
      <c r="F1753" s="24"/>
      <c r="G1753" s="11"/>
      <c r="H1753" s="11"/>
    </row>
    <row r="1754" spans="1:8" ht="12.75" hidden="1">
      <c r="A1754" s="11"/>
      <c r="B1754" s="11"/>
      <c r="C1754" s="11"/>
      <c r="D1754" s="24"/>
      <c r="E1754" s="11"/>
      <c r="F1754" s="24"/>
      <c r="G1754" s="11"/>
      <c r="H1754" s="11"/>
    </row>
    <row r="1755" spans="1:8" ht="12.75" hidden="1">
      <c r="A1755" s="11"/>
      <c r="B1755" s="11"/>
      <c r="C1755" s="11"/>
      <c r="D1755" s="24"/>
      <c r="E1755" s="11"/>
      <c r="F1755" s="24"/>
      <c r="G1755" s="11"/>
      <c r="H1755" s="11"/>
    </row>
    <row r="1756" spans="1:8" ht="12.75" hidden="1">
      <c r="A1756" s="11"/>
      <c r="B1756" s="11"/>
      <c r="C1756" s="11"/>
      <c r="D1756" s="24"/>
      <c r="E1756" s="11"/>
      <c r="F1756" s="24"/>
      <c r="G1756" s="11"/>
      <c r="H1756" s="11"/>
    </row>
    <row r="1757" spans="1:8" ht="12.75" hidden="1">
      <c r="A1757" s="11"/>
      <c r="B1757" s="11"/>
      <c r="C1757" s="11"/>
      <c r="D1757" s="24"/>
      <c r="E1757" s="11"/>
      <c r="F1757" s="24"/>
      <c r="G1757" s="11"/>
      <c r="H1757" s="11"/>
    </row>
    <row r="1758" spans="1:8" ht="12.75" hidden="1">
      <c r="A1758" s="11"/>
      <c r="B1758" s="11"/>
      <c r="C1758" s="11"/>
      <c r="D1758" s="24"/>
      <c r="E1758" s="11"/>
      <c r="F1758" s="24"/>
      <c r="G1758" s="11"/>
      <c r="H1758" s="11"/>
    </row>
    <row r="1759" spans="1:8" ht="12.75" hidden="1">
      <c r="A1759" s="11"/>
      <c r="B1759" s="11"/>
      <c r="C1759" s="11"/>
      <c r="D1759" s="24"/>
      <c r="E1759" s="11"/>
      <c r="F1759" s="24"/>
      <c r="G1759" s="11"/>
      <c r="H1759" s="11"/>
    </row>
    <row r="1760" spans="1:8" ht="12.75" hidden="1">
      <c r="A1760" s="11"/>
      <c r="B1760" s="11"/>
      <c r="C1760" s="11"/>
      <c r="D1760" s="24"/>
      <c r="E1760" s="11"/>
      <c r="F1760" s="24"/>
      <c r="G1760" s="11"/>
      <c r="H1760" s="11"/>
    </row>
    <row r="1761" spans="1:8" ht="12.75" hidden="1">
      <c r="A1761" s="11"/>
      <c r="B1761" s="11"/>
      <c r="C1761" s="11"/>
      <c r="D1761" s="24"/>
      <c r="E1761" s="11"/>
      <c r="F1761" s="24"/>
      <c r="G1761" s="11"/>
      <c r="H1761" s="11"/>
    </row>
    <row r="1762" spans="1:8" ht="12.75" hidden="1">
      <c r="A1762" s="11"/>
      <c r="B1762" s="11"/>
      <c r="C1762" s="11"/>
      <c r="D1762" s="24"/>
      <c r="E1762" s="11"/>
      <c r="F1762" s="24"/>
      <c r="G1762" s="11"/>
      <c r="H1762" s="11"/>
    </row>
    <row r="1763" spans="1:8" ht="12.75" hidden="1">
      <c r="A1763" s="11"/>
      <c r="B1763" s="11"/>
      <c r="C1763" s="11"/>
      <c r="D1763" s="24"/>
      <c r="E1763" s="11"/>
      <c r="F1763" s="24"/>
      <c r="G1763" s="11"/>
      <c r="H1763" s="11"/>
    </row>
    <row r="1764" spans="1:8" ht="12.75" hidden="1">
      <c r="A1764" s="11"/>
      <c r="B1764" s="11"/>
      <c r="C1764" s="11"/>
      <c r="D1764" s="24"/>
      <c r="E1764" s="11"/>
      <c r="F1764" s="24"/>
      <c r="G1764" s="11"/>
      <c r="H1764" s="11"/>
    </row>
    <row r="1765" spans="1:8" ht="12.75" hidden="1">
      <c r="A1765" s="11"/>
      <c r="B1765" s="11"/>
      <c r="C1765" s="11"/>
      <c r="D1765" s="24"/>
      <c r="E1765" s="11"/>
      <c r="F1765" s="24"/>
      <c r="G1765" s="11"/>
      <c r="H1765" s="11"/>
    </row>
    <row r="1766" spans="1:8" ht="12.75" hidden="1">
      <c r="A1766" s="11"/>
      <c r="B1766" s="11"/>
      <c r="C1766" s="11"/>
      <c r="D1766" s="24"/>
      <c r="E1766" s="11"/>
      <c r="F1766" s="24"/>
      <c r="G1766" s="11"/>
      <c r="H1766" s="11"/>
    </row>
    <row r="1767" spans="1:8" ht="12.75" hidden="1">
      <c r="A1767" s="11"/>
      <c r="B1767" s="11"/>
      <c r="C1767" s="11"/>
      <c r="D1767" s="24"/>
      <c r="E1767" s="11"/>
      <c r="F1767" s="24"/>
      <c r="G1767" s="11"/>
      <c r="H1767" s="11"/>
    </row>
    <row r="1768" spans="1:8" ht="12.75" hidden="1">
      <c r="A1768" s="11"/>
      <c r="B1768" s="11"/>
      <c r="C1768" s="11"/>
      <c r="D1768" s="24"/>
      <c r="E1768" s="11"/>
      <c r="F1768" s="24"/>
      <c r="G1768" s="11"/>
      <c r="H1768" s="11"/>
    </row>
    <row r="1769" spans="1:8" ht="12.75" hidden="1">
      <c r="A1769" s="11"/>
      <c r="B1769" s="11"/>
      <c r="C1769" s="11"/>
      <c r="D1769" s="24"/>
      <c r="E1769" s="11"/>
      <c r="F1769" s="24"/>
      <c r="G1769" s="11"/>
      <c r="H1769" s="11"/>
    </row>
    <row r="1770" spans="1:8" ht="12.75" hidden="1">
      <c r="A1770" s="11"/>
      <c r="B1770" s="11"/>
      <c r="C1770" s="11"/>
      <c r="D1770" s="24"/>
      <c r="E1770" s="11"/>
      <c r="F1770" s="24"/>
      <c r="G1770" s="11"/>
      <c r="H1770" s="11"/>
    </row>
    <row r="1771" spans="1:8" ht="12.75" hidden="1">
      <c r="A1771" s="11"/>
      <c r="B1771" s="11"/>
      <c r="C1771" s="11"/>
      <c r="D1771" s="24"/>
      <c r="E1771" s="11"/>
      <c r="F1771" s="24"/>
      <c r="G1771" s="11"/>
      <c r="H1771" s="11"/>
    </row>
    <row r="1772" spans="1:8" ht="12.75" hidden="1">
      <c r="A1772" s="11"/>
      <c r="B1772" s="11"/>
      <c r="C1772" s="11"/>
      <c r="D1772" s="24"/>
      <c r="E1772" s="11"/>
      <c r="F1772" s="24"/>
      <c r="G1772" s="11"/>
      <c r="H1772" s="11"/>
    </row>
    <row r="1773" spans="1:8" ht="12.75" hidden="1">
      <c r="A1773" s="11"/>
      <c r="B1773" s="11"/>
      <c r="C1773" s="11"/>
      <c r="D1773" s="24"/>
      <c r="E1773" s="11"/>
      <c r="F1773" s="24"/>
      <c r="G1773" s="11"/>
      <c r="H1773" s="11"/>
    </row>
    <row r="1774" spans="1:8" ht="12.75" hidden="1">
      <c r="A1774" s="11"/>
      <c r="B1774" s="11"/>
      <c r="C1774" s="11"/>
      <c r="D1774" s="24"/>
      <c r="E1774" s="11"/>
      <c r="F1774" s="24"/>
      <c r="G1774" s="11"/>
      <c r="H1774" s="11"/>
    </row>
    <row r="1775" spans="1:8" ht="12.75" hidden="1">
      <c r="A1775" s="11"/>
      <c r="B1775" s="11"/>
      <c r="C1775" s="11"/>
      <c r="D1775" s="24"/>
      <c r="E1775" s="11"/>
      <c r="F1775" s="24"/>
      <c r="G1775" s="11"/>
      <c r="H1775" s="11"/>
    </row>
    <row r="1776" spans="1:8" ht="12.75" hidden="1">
      <c r="A1776" s="11"/>
      <c r="B1776" s="11"/>
      <c r="C1776" s="11"/>
      <c r="D1776" s="24"/>
      <c r="E1776" s="11"/>
      <c r="F1776" s="24"/>
      <c r="G1776" s="11"/>
      <c r="H1776" s="11"/>
    </row>
    <row r="1777" spans="1:8" ht="12.75" hidden="1">
      <c r="A1777" s="11"/>
      <c r="B1777" s="11"/>
      <c r="C1777" s="11"/>
      <c r="D1777" s="24"/>
      <c r="E1777" s="11"/>
      <c r="F1777" s="24"/>
      <c r="G1777" s="11"/>
      <c r="H1777" s="11"/>
    </row>
    <row r="1778" spans="1:8" ht="12.75" hidden="1">
      <c r="A1778" s="11"/>
      <c r="B1778" s="11"/>
      <c r="C1778" s="11"/>
      <c r="D1778" s="24"/>
      <c r="E1778" s="11"/>
      <c r="F1778" s="24"/>
      <c r="G1778" s="11"/>
      <c r="H1778" s="11"/>
    </row>
    <row r="1779" spans="1:8" ht="12.75" hidden="1">
      <c r="A1779" s="11"/>
      <c r="B1779" s="11"/>
      <c r="C1779" s="11"/>
      <c r="D1779" s="24"/>
      <c r="E1779" s="11"/>
      <c r="F1779" s="24"/>
      <c r="G1779" s="11"/>
      <c r="H1779" s="11"/>
    </row>
    <row r="1780" spans="1:8" ht="12.75" hidden="1">
      <c r="A1780" s="11"/>
      <c r="B1780" s="11"/>
      <c r="C1780" s="11"/>
      <c r="D1780" s="24"/>
      <c r="E1780" s="11"/>
      <c r="F1780" s="24"/>
      <c r="G1780" s="11"/>
      <c r="H1780" s="11"/>
    </row>
    <row r="1781" spans="1:8" ht="12.75" hidden="1">
      <c r="A1781" s="11"/>
      <c r="B1781" s="11"/>
      <c r="C1781" s="11"/>
      <c r="D1781" s="24"/>
      <c r="E1781" s="11"/>
      <c r="F1781" s="24"/>
      <c r="G1781" s="11"/>
      <c r="H1781" s="11"/>
    </row>
    <row r="1782" spans="1:8" ht="12.75" hidden="1">
      <c r="A1782" s="11"/>
      <c r="B1782" s="11"/>
      <c r="C1782" s="11"/>
      <c r="D1782" s="24"/>
      <c r="E1782" s="11"/>
      <c r="F1782" s="24"/>
      <c r="G1782" s="11"/>
      <c r="H1782" s="11"/>
    </row>
    <row r="1783" spans="1:8" ht="12.75" hidden="1">
      <c r="A1783" s="11"/>
      <c r="B1783" s="11"/>
      <c r="C1783" s="11"/>
      <c r="D1783" s="24"/>
      <c r="E1783" s="11"/>
      <c r="F1783" s="24"/>
      <c r="G1783" s="11"/>
      <c r="H1783" s="11"/>
    </row>
    <row r="1784" spans="1:8" ht="12.75" hidden="1">
      <c r="A1784" s="11"/>
      <c r="B1784" s="11"/>
      <c r="C1784" s="11"/>
      <c r="D1784" s="24"/>
      <c r="E1784" s="11"/>
      <c r="F1784" s="24"/>
      <c r="G1784" s="11"/>
      <c r="H1784" s="11"/>
    </row>
    <row r="1785" spans="1:8" ht="12.75" hidden="1">
      <c r="A1785" s="11"/>
      <c r="B1785" s="11"/>
      <c r="C1785" s="11"/>
      <c r="D1785" s="24"/>
      <c r="E1785" s="11"/>
      <c r="F1785" s="24"/>
      <c r="G1785" s="11"/>
      <c r="H1785" s="11"/>
    </row>
    <row r="1786" spans="1:8" ht="12.75" hidden="1">
      <c r="A1786" s="11"/>
      <c r="B1786" s="11"/>
      <c r="C1786" s="11"/>
      <c r="D1786" s="24"/>
      <c r="E1786" s="11"/>
      <c r="F1786" s="24"/>
      <c r="G1786" s="11"/>
      <c r="H1786" s="11"/>
    </row>
    <row r="1787" spans="1:8" ht="12.75" hidden="1">
      <c r="A1787" s="11"/>
      <c r="B1787" s="11"/>
      <c r="C1787" s="11"/>
      <c r="D1787" s="24"/>
      <c r="E1787" s="11"/>
      <c r="F1787" s="24"/>
      <c r="G1787" s="11"/>
      <c r="H1787" s="11"/>
    </row>
    <row r="1788" spans="1:8" ht="12.75" hidden="1">
      <c r="A1788" s="11"/>
      <c r="B1788" s="11"/>
      <c r="C1788" s="11"/>
      <c r="D1788" s="24"/>
      <c r="E1788" s="11"/>
      <c r="F1788" s="24"/>
      <c r="G1788" s="11"/>
      <c r="H1788" s="11"/>
    </row>
    <row r="1789" spans="1:8" ht="12.75" hidden="1">
      <c r="A1789" s="11"/>
      <c r="B1789" s="11"/>
      <c r="C1789" s="11"/>
      <c r="D1789" s="24"/>
      <c r="E1789" s="11"/>
      <c r="F1789" s="24"/>
      <c r="G1789" s="11"/>
      <c r="H1789" s="11"/>
    </row>
    <row r="1790" spans="1:8" ht="12.75" hidden="1">
      <c r="A1790" s="11"/>
      <c r="B1790" s="11"/>
      <c r="C1790" s="11"/>
      <c r="D1790" s="24"/>
      <c r="E1790" s="11"/>
      <c r="F1790" s="24"/>
      <c r="G1790" s="11"/>
      <c r="H1790" s="11"/>
    </row>
    <row r="1791" spans="1:8" ht="12.75" hidden="1">
      <c r="A1791" s="11"/>
      <c r="B1791" s="11"/>
      <c r="C1791" s="11"/>
      <c r="D1791" s="24"/>
      <c r="E1791" s="11"/>
      <c r="F1791" s="24"/>
      <c r="G1791" s="11"/>
      <c r="H1791" s="11"/>
    </row>
    <row r="1792" spans="1:8" ht="12.75" hidden="1">
      <c r="A1792" s="11"/>
      <c r="B1792" s="11"/>
      <c r="C1792" s="11"/>
      <c r="D1792" s="24"/>
      <c r="E1792" s="11"/>
      <c r="F1792" s="24"/>
      <c r="G1792" s="11"/>
      <c r="H1792" s="11"/>
    </row>
    <row r="1793" spans="1:8" ht="12.75" hidden="1">
      <c r="A1793" s="11"/>
      <c r="B1793" s="11"/>
      <c r="C1793" s="11"/>
      <c r="D1793" s="24"/>
      <c r="E1793" s="11"/>
      <c r="F1793" s="24"/>
      <c r="G1793" s="11"/>
      <c r="H1793" s="11"/>
    </row>
    <row r="1794" spans="1:8" ht="12.75" hidden="1">
      <c r="A1794" s="11"/>
      <c r="B1794" s="11"/>
      <c r="C1794" s="11"/>
      <c r="D1794" s="24"/>
      <c r="E1794" s="11"/>
      <c r="F1794" s="24"/>
      <c r="G1794" s="11"/>
      <c r="H1794" s="11"/>
    </row>
    <row r="1795" spans="1:8" ht="12.75" hidden="1">
      <c r="A1795" s="11"/>
      <c r="B1795" s="11"/>
      <c r="C1795" s="11"/>
      <c r="D1795" s="24"/>
      <c r="E1795" s="11"/>
      <c r="F1795" s="24"/>
      <c r="G1795" s="11"/>
      <c r="H1795" s="11"/>
    </row>
    <row r="1796" spans="1:8" ht="12.75" hidden="1">
      <c r="A1796" s="11"/>
      <c r="B1796" s="11"/>
      <c r="C1796" s="11"/>
      <c r="D1796" s="24"/>
      <c r="E1796" s="11"/>
      <c r="F1796" s="24"/>
      <c r="G1796" s="11"/>
      <c r="H1796" s="11"/>
    </row>
    <row r="1797" spans="1:8" ht="12.75" hidden="1">
      <c r="A1797" s="11"/>
      <c r="B1797" s="11"/>
      <c r="C1797" s="11"/>
      <c r="D1797" s="24"/>
      <c r="E1797" s="11"/>
      <c r="F1797" s="24"/>
      <c r="G1797" s="11"/>
      <c r="H1797" s="11"/>
    </row>
    <row r="1798" spans="1:8" ht="12.75" hidden="1">
      <c r="A1798" s="11"/>
      <c r="B1798" s="11"/>
      <c r="C1798" s="11"/>
      <c r="D1798" s="24"/>
      <c r="E1798" s="11"/>
      <c r="F1798" s="24"/>
      <c r="G1798" s="11"/>
      <c r="H1798" s="11"/>
    </row>
    <row r="1799" spans="1:8" ht="12.75" hidden="1">
      <c r="A1799" s="11"/>
      <c r="B1799" s="11"/>
      <c r="C1799" s="11"/>
      <c r="D1799" s="24"/>
      <c r="E1799" s="11"/>
      <c r="F1799" s="24"/>
      <c r="G1799" s="11"/>
      <c r="H1799" s="11"/>
    </row>
    <row r="1800" spans="1:8" ht="12.75" hidden="1">
      <c r="A1800" s="11"/>
      <c r="B1800" s="11"/>
      <c r="C1800" s="11"/>
      <c r="D1800" s="24"/>
      <c r="E1800" s="11"/>
      <c r="F1800" s="24"/>
      <c r="G1800" s="11"/>
      <c r="H1800" s="11"/>
    </row>
    <row r="1801" spans="1:8" ht="12.75" hidden="1">
      <c r="A1801" s="11"/>
      <c r="B1801" s="11"/>
      <c r="C1801" s="11"/>
      <c r="D1801" s="24"/>
      <c r="E1801" s="11"/>
      <c r="F1801" s="24"/>
      <c r="G1801" s="11"/>
      <c r="H1801" s="11"/>
    </row>
    <row r="1802" spans="1:8" ht="12.75" hidden="1">
      <c r="A1802" s="11"/>
      <c r="B1802" s="11"/>
      <c r="C1802" s="11"/>
      <c r="D1802" s="24"/>
      <c r="E1802" s="11"/>
      <c r="F1802" s="24"/>
      <c r="G1802" s="11"/>
      <c r="H1802" s="11"/>
    </row>
    <row r="1803" spans="1:8" ht="12.75" hidden="1">
      <c r="A1803" s="11"/>
      <c r="B1803" s="11"/>
      <c r="C1803" s="11"/>
      <c r="D1803" s="24"/>
      <c r="E1803" s="11"/>
      <c r="F1803" s="24"/>
      <c r="G1803" s="11"/>
      <c r="H1803" s="11"/>
    </row>
    <row r="1804" spans="1:8" ht="12.75" hidden="1">
      <c r="A1804" s="11"/>
      <c r="B1804" s="11"/>
      <c r="C1804" s="11"/>
      <c r="D1804" s="24"/>
      <c r="E1804" s="11"/>
      <c r="F1804" s="24"/>
      <c r="G1804" s="11"/>
      <c r="H1804" s="11"/>
    </row>
    <row r="1805" spans="1:8" ht="12.75" hidden="1">
      <c r="A1805" s="11"/>
      <c r="B1805" s="11"/>
      <c r="C1805" s="11"/>
      <c r="D1805" s="24"/>
      <c r="E1805" s="11"/>
      <c r="F1805" s="24"/>
      <c r="G1805" s="11"/>
      <c r="H1805" s="11"/>
    </row>
    <row r="1806" spans="1:8" ht="12.75" hidden="1">
      <c r="A1806" s="11"/>
      <c r="B1806" s="11"/>
      <c r="C1806" s="11"/>
      <c r="D1806" s="24"/>
      <c r="E1806" s="11"/>
      <c r="F1806" s="24"/>
      <c r="G1806" s="11"/>
      <c r="H1806" s="11"/>
    </row>
    <row r="1807" spans="1:8" ht="12.75" hidden="1">
      <c r="A1807" s="11"/>
      <c r="B1807" s="11"/>
      <c r="C1807" s="11"/>
      <c r="D1807" s="24"/>
      <c r="E1807" s="11"/>
      <c r="F1807" s="24"/>
      <c r="G1807" s="11"/>
      <c r="H1807" s="11"/>
    </row>
    <row r="1808" spans="1:8" ht="12.75" hidden="1">
      <c r="A1808" s="11"/>
      <c r="B1808" s="11"/>
      <c r="C1808" s="11"/>
      <c r="D1808" s="24"/>
      <c r="E1808" s="11"/>
      <c r="F1808" s="24"/>
      <c r="G1808" s="11"/>
      <c r="H1808" s="11"/>
    </row>
    <row r="1809" spans="1:8" ht="12.75" hidden="1">
      <c r="A1809" s="11"/>
      <c r="B1809" s="11"/>
      <c r="C1809" s="11"/>
      <c r="D1809" s="24"/>
      <c r="E1809" s="11"/>
      <c r="F1809" s="24"/>
      <c r="G1809" s="11"/>
      <c r="H1809" s="11"/>
    </row>
    <row r="1810" spans="1:8" ht="12.75" hidden="1">
      <c r="A1810" s="11"/>
      <c r="B1810" s="11"/>
      <c r="C1810" s="11"/>
      <c r="D1810" s="24"/>
      <c r="E1810" s="11"/>
      <c r="F1810" s="24"/>
      <c r="G1810" s="11"/>
      <c r="H1810" s="11"/>
    </row>
    <row r="1811" spans="1:8" ht="12.75" hidden="1">
      <c r="A1811" s="11"/>
      <c r="B1811" s="11"/>
      <c r="C1811" s="11"/>
      <c r="D1811" s="24"/>
      <c r="E1811" s="11"/>
      <c r="F1811" s="24"/>
      <c r="G1811" s="11"/>
      <c r="H1811" s="11"/>
    </row>
    <row r="1812" spans="1:8" ht="12.75" hidden="1">
      <c r="A1812" s="11"/>
      <c r="B1812" s="11"/>
      <c r="C1812" s="11"/>
      <c r="D1812" s="24"/>
      <c r="E1812" s="11"/>
      <c r="F1812" s="24"/>
      <c r="G1812" s="11"/>
      <c r="H1812" s="11"/>
    </row>
    <row r="1813" spans="1:8" ht="12.75" hidden="1">
      <c r="A1813" s="11"/>
      <c r="B1813" s="11"/>
      <c r="C1813" s="11"/>
      <c r="D1813" s="24"/>
      <c r="E1813" s="11"/>
      <c r="F1813" s="24"/>
      <c r="G1813" s="11"/>
      <c r="H1813" s="11"/>
    </row>
    <row r="1814" spans="1:8" ht="12.75" hidden="1">
      <c r="A1814" s="11"/>
      <c r="B1814" s="11"/>
      <c r="C1814" s="11"/>
      <c r="D1814" s="24"/>
      <c r="E1814" s="11"/>
      <c r="F1814" s="24"/>
      <c r="G1814" s="11"/>
      <c r="H1814" s="11"/>
    </row>
    <row r="1815" spans="1:8" ht="12.75" hidden="1">
      <c r="A1815" s="11"/>
      <c r="B1815" s="11"/>
      <c r="C1815" s="11"/>
      <c r="D1815" s="24"/>
      <c r="E1815" s="11"/>
      <c r="F1815" s="24"/>
      <c r="G1815" s="11"/>
      <c r="H1815" s="11"/>
    </row>
    <row r="1816" spans="1:8" ht="12.75" hidden="1">
      <c r="A1816" s="11"/>
      <c r="B1816" s="11"/>
      <c r="C1816" s="11"/>
      <c r="D1816" s="24"/>
      <c r="E1816" s="11"/>
      <c r="F1816" s="24"/>
      <c r="G1816" s="11"/>
      <c r="H1816" s="11"/>
    </row>
    <row r="1817" spans="1:8" ht="12.75" hidden="1">
      <c r="A1817" s="11"/>
      <c r="B1817" s="11"/>
      <c r="C1817" s="11"/>
      <c r="D1817" s="24"/>
      <c r="E1817" s="11"/>
      <c r="F1817" s="24"/>
      <c r="G1817" s="11"/>
      <c r="H1817" s="11"/>
    </row>
    <row r="1818" spans="1:8" ht="12.75" hidden="1">
      <c r="A1818" s="11"/>
      <c r="B1818" s="11"/>
      <c r="C1818" s="11"/>
      <c r="D1818" s="24"/>
      <c r="E1818" s="11"/>
      <c r="F1818" s="24"/>
      <c r="G1818" s="11"/>
      <c r="H1818" s="11"/>
    </row>
    <row r="1819" spans="1:8" ht="12.75" hidden="1">
      <c r="A1819" s="11"/>
      <c r="B1819" s="11"/>
      <c r="C1819" s="11"/>
      <c r="D1819" s="24"/>
      <c r="E1819" s="11"/>
      <c r="F1819" s="24"/>
      <c r="G1819" s="11"/>
      <c r="H1819" s="11"/>
    </row>
    <row r="1820" spans="1:8" ht="12.75" hidden="1">
      <c r="A1820" s="11"/>
      <c r="B1820" s="11"/>
      <c r="C1820" s="11"/>
      <c r="D1820" s="24"/>
      <c r="E1820" s="11"/>
      <c r="F1820" s="24"/>
      <c r="G1820" s="11"/>
      <c r="H1820" s="11"/>
    </row>
    <row r="1821" spans="1:8" ht="12.75" hidden="1">
      <c r="A1821" s="11"/>
      <c r="B1821" s="11"/>
      <c r="C1821" s="11"/>
      <c r="D1821" s="24"/>
      <c r="E1821" s="11"/>
      <c r="F1821" s="24"/>
      <c r="G1821" s="11"/>
      <c r="H1821" s="11"/>
    </row>
    <row r="1822" spans="1:8" ht="12.75" hidden="1">
      <c r="A1822" s="11"/>
      <c r="B1822" s="11"/>
      <c r="C1822" s="11"/>
      <c r="D1822" s="24"/>
      <c r="E1822" s="11"/>
      <c r="F1822" s="24"/>
      <c r="G1822" s="11"/>
      <c r="H1822" s="11"/>
    </row>
    <row r="1823" spans="1:8" ht="12.75" hidden="1">
      <c r="A1823" s="11"/>
      <c r="B1823" s="11"/>
      <c r="C1823" s="11"/>
      <c r="D1823" s="24"/>
      <c r="E1823" s="11"/>
      <c r="F1823" s="24"/>
      <c r="G1823" s="11"/>
      <c r="H1823" s="11"/>
    </row>
    <row r="1824" spans="1:8" ht="12.75" hidden="1">
      <c r="A1824" s="11"/>
      <c r="B1824" s="11"/>
      <c r="C1824" s="11"/>
      <c r="D1824" s="24"/>
      <c r="E1824" s="11"/>
      <c r="F1824" s="24"/>
      <c r="G1824" s="11"/>
      <c r="H1824" s="11"/>
    </row>
    <row r="1825" spans="1:8" ht="12.75" hidden="1">
      <c r="A1825" s="11"/>
      <c r="B1825" s="11"/>
      <c r="C1825" s="11"/>
      <c r="D1825" s="24"/>
      <c r="E1825" s="11"/>
      <c r="F1825" s="24"/>
      <c r="G1825" s="11"/>
      <c r="H1825" s="11"/>
    </row>
    <row r="1826" spans="1:8" ht="12.75" hidden="1">
      <c r="A1826" s="11"/>
      <c r="B1826" s="11"/>
      <c r="C1826" s="11"/>
      <c r="D1826" s="24"/>
      <c r="E1826" s="11"/>
      <c r="F1826" s="24"/>
      <c r="G1826" s="11"/>
      <c r="H1826" s="11"/>
    </row>
    <row r="1827" spans="1:8" ht="12.75" hidden="1">
      <c r="A1827" s="11"/>
      <c r="B1827" s="11"/>
      <c r="C1827" s="11"/>
      <c r="D1827" s="24"/>
      <c r="E1827" s="11"/>
      <c r="F1827" s="24"/>
      <c r="G1827" s="11"/>
      <c r="H1827" s="11"/>
    </row>
    <row r="1828" spans="1:8" ht="12.75" hidden="1">
      <c r="A1828" s="11"/>
      <c r="B1828" s="11"/>
      <c r="C1828" s="11"/>
      <c r="D1828" s="24"/>
      <c r="E1828" s="11"/>
      <c r="F1828" s="24"/>
      <c r="G1828" s="11"/>
      <c r="H1828" s="11"/>
    </row>
    <row r="1829" spans="1:8" ht="12.75" hidden="1">
      <c r="A1829" s="11"/>
      <c r="B1829" s="11"/>
      <c r="C1829" s="11"/>
      <c r="D1829" s="24"/>
      <c r="E1829" s="11"/>
      <c r="F1829" s="24"/>
      <c r="G1829" s="11"/>
      <c r="H1829" s="11"/>
    </row>
    <row r="1830" spans="1:8" ht="12.75" hidden="1">
      <c r="A1830" s="11"/>
      <c r="B1830" s="11"/>
      <c r="C1830" s="11"/>
      <c r="D1830" s="24"/>
      <c r="E1830" s="11"/>
      <c r="F1830" s="24"/>
      <c r="G1830" s="11"/>
      <c r="H1830" s="11"/>
    </row>
    <row r="1831" spans="1:8" ht="12.75" hidden="1">
      <c r="A1831" s="11"/>
      <c r="B1831" s="11"/>
      <c r="C1831" s="11"/>
      <c r="D1831" s="24"/>
      <c r="E1831" s="11"/>
      <c r="F1831" s="24"/>
      <c r="G1831" s="11"/>
      <c r="H1831" s="11"/>
    </row>
    <row r="1832" spans="1:8" ht="12.75" hidden="1">
      <c r="A1832" s="11"/>
      <c r="B1832" s="11"/>
      <c r="C1832" s="11"/>
      <c r="D1832" s="24"/>
      <c r="E1832" s="11"/>
      <c r="F1832" s="24"/>
      <c r="G1832" s="11"/>
      <c r="H1832" s="11"/>
    </row>
    <row r="1833" spans="1:8" ht="12.75" hidden="1">
      <c r="A1833" s="11"/>
      <c r="B1833" s="11"/>
      <c r="C1833" s="11"/>
      <c r="D1833" s="24"/>
      <c r="E1833" s="11"/>
      <c r="F1833" s="24"/>
      <c r="G1833" s="11"/>
      <c r="H1833" s="11"/>
    </row>
    <row r="1834" spans="1:8" ht="12.75" hidden="1">
      <c r="A1834" s="11"/>
      <c r="B1834" s="11"/>
      <c r="C1834" s="11"/>
      <c r="D1834" s="24"/>
      <c r="E1834" s="11"/>
      <c r="F1834" s="24"/>
      <c r="G1834" s="11"/>
      <c r="H1834" s="11"/>
    </row>
    <row r="1835" spans="1:8" ht="12.75" hidden="1">
      <c r="A1835" s="11"/>
      <c r="B1835" s="11"/>
      <c r="C1835" s="11"/>
      <c r="D1835" s="24"/>
      <c r="E1835" s="11"/>
      <c r="F1835" s="24"/>
      <c r="G1835" s="11"/>
      <c r="H1835" s="11"/>
    </row>
    <row r="1836" spans="1:8" ht="12.75" hidden="1">
      <c r="A1836" s="11"/>
      <c r="B1836" s="11"/>
      <c r="C1836" s="11"/>
      <c r="D1836" s="24"/>
      <c r="E1836" s="11"/>
      <c r="F1836" s="24"/>
      <c r="G1836" s="11"/>
      <c r="H1836" s="11"/>
    </row>
    <row r="1837" spans="1:8" ht="12.75" hidden="1">
      <c r="A1837" s="11"/>
      <c r="B1837" s="11"/>
      <c r="C1837" s="11"/>
      <c r="D1837" s="24"/>
      <c r="E1837" s="11"/>
      <c r="F1837" s="24"/>
      <c r="G1837" s="11"/>
      <c r="H1837" s="11"/>
    </row>
    <row r="1838" spans="1:8" ht="12.75" hidden="1">
      <c r="A1838" s="11"/>
      <c r="B1838" s="11"/>
      <c r="C1838" s="11"/>
      <c r="D1838" s="24"/>
      <c r="E1838" s="11"/>
      <c r="F1838" s="24"/>
      <c r="G1838" s="11"/>
      <c r="H1838" s="11"/>
    </row>
    <row r="1839" spans="1:8" ht="12.75" hidden="1">
      <c r="A1839" s="11"/>
      <c r="B1839" s="11"/>
      <c r="C1839" s="11"/>
      <c r="D1839" s="24"/>
      <c r="E1839" s="11"/>
      <c r="F1839" s="24"/>
      <c r="G1839" s="11"/>
      <c r="H1839" s="11"/>
    </row>
    <row r="1840" spans="1:8" ht="12.75" hidden="1">
      <c r="A1840" s="11"/>
      <c r="B1840" s="11"/>
      <c r="C1840" s="11"/>
      <c r="D1840" s="24"/>
      <c r="E1840" s="11"/>
      <c r="F1840" s="24"/>
      <c r="G1840" s="11"/>
      <c r="H1840" s="11"/>
    </row>
    <row r="1841" spans="1:8" ht="12.75" hidden="1">
      <c r="A1841" s="11"/>
      <c r="B1841" s="11"/>
      <c r="C1841" s="11"/>
      <c r="D1841" s="24"/>
      <c r="E1841" s="11"/>
      <c r="F1841" s="24"/>
      <c r="G1841" s="11"/>
      <c r="H1841" s="11"/>
    </row>
    <row r="1842" spans="1:8" ht="12.75" hidden="1">
      <c r="A1842" s="11"/>
      <c r="B1842" s="11"/>
      <c r="C1842" s="11"/>
      <c r="D1842" s="24"/>
      <c r="E1842" s="11"/>
      <c r="F1842" s="24"/>
      <c r="G1842" s="11"/>
      <c r="H1842" s="11"/>
    </row>
    <row r="1843" spans="1:8" ht="12.75" hidden="1">
      <c r="A1843" s="11"/>
      <c r="B1843" s="11"/>
      <c r="C1843" s="11"/>
      <c r="D1843" s="24"/>
      <c r="E1843" s="11"/>
      <c r="F1843" s="24"/>
      <c r="G1843" s="11"/>
      <c r="H1843" s="11"/>
    </row>
    <row r="1844" spans="1:8" ht="12.75" hidden="1">
      <c r="A1844" s="11"/>
      <c r="B1844" s="11"/>
      <c r="C1844" s="11"/>
      <c r="D1844" s="24"/>
      <c r="E1844" s="11"/>
      <c r="F1844" s="24"/>
      <c r="G1844" s="11"/>
      <c r="H1844" s="11"/>
    </row>
    <row r="1845" spans="1:8" ht="12.75" hidden="1">
      <c r="A1845" s="11"/>
      <c r="B1845" s="11"/>
      <c r="C1845" s="11"/>
      <c r="D1845" s="24"/>
      <c r="E1845" s="11"/>
      <c r="F1845" s="24"/>
      <c r="G1845" s="11"/>
      <c r="H1845" s="11"/>
    </row>
    <row r="1846" spans="1:8" ht="12.75" hidden="1">
      <c r="A1846" s="11"/>
      <c r="B1846" s="11"/>
      <c r="C1846" s="11"/>
      <c r="D1846" s="24"/>
      <c r="E1846" s="11"/>
      <c r="F1846" s="24"/>
      <c r="G1846" s="11"/>
      <c r="H1846" s="11"/>
    </row>
    <row r="1847" spans="1:8" ht="12.75" hidden="1">
      <c r="A1847" s="11"/>
      <c r="B1847" s="11"/>
      <c r="C1847" s="11"/>
      <c r="D1847" s="24"/>
      <c r="E1847" s="11"/>
      <c r="F1847" s="24"/>
      <c r="G1847" s="11"/>
      <c r="H1847" s="11"/>
    </row>
    <row r="1848" spans="1:8" ht="12.75" hidden="1">
      <c r="A1848" s="11"/>
      <c r="B1848" s="11"/>
      <c r="C1848" s="11"/>
      <c r="D1848" s="24"/>
      <c r="E1848" s="11"/>
      <c r="F1848" s="24"/>
      <c r="G1848" s="11"/>
      <c r="H1848" s="11"/>
    </row>
    <row r="1849" spans="1:8" ht="12.75" hidden="1">
      <c r="A1849" s="11"/>
      <c r="B1849" s="11"/>
      <c r="C1849" s="11"/>
      <c r="D1849" s="24"/>
      <c r="E1849" s="11"/>
      <c r="F1849" s="24"/>
      <c r="G1849" s="11"/>
      <c r="H1849" s="11"/>
    </row>
    <row r="1850" spans="1:8" ht="12.75" hidden="1">
      <c r="A1850" s="11"/>
      <c r="B1850" s="11"/>
      <c r="C1850" s="11"/>
      <c r="D1850" s="24"/>
      <c r="E1850" s="11"/>
      <c r="F1850" s="24"/>
      <c r="G1850" s="11"/>
      <c r="H1850" s="11"/>
    </row>
    <row r="1851" spans="1:8" ht="12.75" hidden="1">
      <c r="A1851" s="11"/>
      <c r="B1851" s="11"/>
      <c r="C1851" s="11"/>
      <c r="D1851" s="24"/>
      <c r="E1851" s="11"/>
      <c r="F1851" s="24"/>
      <c r="G1851" s="11"/>
      <c r="H1851" s="11"/>
    </row>
    <row r="1852" spans="1:8" ht="12.75" hidden="1">
      <c r="A1852" s="11"/>
      <c r="B1852" s="11"/>
      <c r="C1852" s="11"/>
      <c r="D1852" s="24"/>
      <c r="E1852" s="11"/>
      <c r="F1852" s="24"/>
      <c r="G1852" s="11"/>
      <c r="H1852" s="11"/>
    </row>
    <row r="1853" spans="1:8" ht="12.75" hidden="1">
      <c r="A1853" s="11"/>
      <c r="B1853" s="11"/>
      <c r="C1853" s="11"/>
      <c r="D1853" s="24"/>
      <c r="E1853" s="11"/>
      <c r="F1853" s="24"/>
      <c r="G1853" s="11"/>
      <c r="H1853" s="11"/>
    </row>
    <row r="1854" spans="1:8" ht="12.75" hidden="1">
      <c r="A1854" s="11"/>
      <c r="B1854" s="11"/>
      <c r="C1854" s="11"/>
      <c r="D1854" s="24"/>
      <c r="E1854" s="11"/>
      <c r="F1854" s="24"/>
      <c r="G1854" s="11"/>
      <c r="H1854" s="11"/>
    </row>
    <row r="1855" spans="1:8" ht="12.75" hidden="1">
      <c r="A1855" s="11"/>
      <c r="B1855" s="11"/>
      <c r="C1855" s="11"/>
      <c r="D1855" s="24"/>
      <c r="E1855" s="11"/>
      <c r="F1855" s="24"/>
      <c r="G1855" s="11"/>
      <c r="H1855" s="11"/>
    </row>
    <row r="1856" spans="1:8" ht="12.75" hidden="1">
      <c r="A1856" s="11"/>
      <c r="B1856" s="11"/>
      <c r="C1856" s="11"/>
      <c r="D1856" s="24"/>
      <c r="E1856" s="11"/>
      <c r="F1856" s="24"/>
      <c r="G1856" s="11"/>
      <c r="H1856" s="11"/>
    </row>
    <row r="1857" spans="1:8" ht="12.75" hidden="1">
      <c r="A1857" s="11"/>
      <c r="B1857" s="11"/>
      <c r="C1857" s="11"/>
      <c r="D1857" s="24"/>
      <c r="E1857" s="11"/>
      <c r="F1857" s="24"/>
      <c r="G1857" s="11"/>
      <c r="H1857" s="11"/>
    </row>
    <row r="1858" spans="1:8" ht="12.75" hidden="1">
      <c r="A1858" s="11"/>
      <c r="B1858" s="11"/>
      <c r="C1858" s="11"/>
      <c r="D1858" s="24"/>
      <c r="E1858" s="11"/>
      <c r="F1858" s="24"/>
      <c r="G1858" s="11"/>
      <c r="H1858" s="11"/>
    </row>
    <row r="1859" spans="1:8" ht="12.75" hidden="1">
      <c r="A1859" s="11"/>
      <c r="B1859" s="11"/>
      <c r="C1859" s="11"/>
      <c r="D1859" s="24"/>
      <c r="E1859" s="11"/>
      <c r="F1859" s="24"/>
      <c r="G1859" s="11"/>
      <c r="H1859" s="11"/>
    </row>
    <row r="1860" spans="1:8" ht="12.75" hidden="1">
      <c r="A1860" s="11"/>
      <c r="B1860" s="11"/>
      <c r="C1860" s="11"/>
      <c r="D1860" s="24"/>
      <c r="E1860" s="11"/>
      <c r="F1860" s="24"/>
      <c r="G1860" s="11"/>
      <c r="H1860" s="11"/>
    </row>
    <row r="1861" spans="1:8" ht="12.75" hidden="1">
      <c r="A1861" s="11"/>
      <c r="B1861" s="11"/>
      <c r="C1861" s="11"/>
      <c r="D1861" s="24"/>
      <c r="E1861" s="11"/>
      <c r="F1861" s="24"/>
      <c r="G1861" s="11"/>
      <c r="H1861" s="11"/>
    </row>
    <row r="1862" spans="1:8" ht="12.75" hidden="1">
      <c r="A1862" s="11"/>
      <c r="B1862" s="11"/>
      <c r="C1862" s="11"/>
      <c r="D1862" s="24"/>
      <c r="E1862" s="11"/>
      <c r="F1862" s="24"/>
      <c r="G1862" s="11"/>
      <c r="H1862" s="11"/>
    </row>
    <row r="1863" spans="1:8" ht="12.75" hidden="1">
      <c r="A1863" s="11"/>
      <c r="B1863" s="11"/>
      <c r="C1863" s="11"/>
      <c r="D1863" s="24"/>
      <c r="E1863" s="11"/>
      <c r="F1863" s="24"/>
      <c r="G1863" s="11"/>
      <c r="H1863" s="11"/>
    </row>
    <row r="1864" spans="1:8" ht="12.75" hidden="1">
      <c r="A1864" s="11"/>
      <c r="B1864" s="11"/>
      <c r="C1864" s="11"/>
      <c r="D1864" s="24"/>
      <c r="E1864" s="11"/>
      <c r="F1864" s="24"/>
      <c r="G1864" s="11"/>
      <c r="H1864" s="11"/>
    </row>
    <row r="1865" spans="1:8" ht="12.75" hidden="1">
      <c r="A1865" s="11"/>
      <c r="B1865" s="11"/>
      <c r="C1865" s="11"/>
      <c r="D1865" s="24"/>
      <c r="E1865" s="11"/>
      <c r="F1865" s="24"/>
      <c r="G1865" s="11"/>
      <c r="H1865" s="11"/>
    </row>
    <row r="1866" spans="1:8" ht="12.75" hidden="1">
      <c r="A1866" s="11"/>
      <c r="B1866" s="11"/>
      <c r="C1866" s="11"/>
      <c r="D1866" s="24"/>
      <c r="E1866" s="11"/>
      <c r="F1866" s="24"/>
      <c r="G1866" s="11"/>
      <c r="H1866" s="11"/>
    </row>
    <row r="1867" spans="1:8" ht="12.75" hidden="1">
      <c r="A1867" s="11"/>
      <c r="B1867" s="11"/>
      <c r="C1867" s="11"/>
      <c r="D1867" s="24"/>
      <c r="E1867" s="11"/>
      <c r="F1867" s="24"/>
      <c r="G1867" s="11"/>
      <c r="H1867" s="11"/>
    </row>
    <row r="1868" spans="1:8" ht="12.75" hidden="1">
      <c r="A1868" s="11"/>
      <c r="B1868" s="11"/>
      <c r="C1868" s="11"/>
      <c r="D1868" s="24"/>
      <c r="E1868" s="11"/>
      <c r="F1868" s="24"/>
      <c r="G1868" s="11"/>
      <c r="H1868" s="11"/>
    </row>
    <row r="1869" spans="1:8" ht="12.75" hidden="1">
      <c r="A1869" s="11"/>
      <c r="B1869" s="11"/>
      <c r="C1869" s="11"/>
      <c r="D1869" s="24"/>
      <c r="E1869" s="11"/>
      <c r="F1869" s="24"/>
      <c r="G1869" s="11"/>
      <c r="H1869" s="11"/>
    </row>
    <row r="1870" spans="1:8" ht="12.75" hidden="1">
      <c r="A1870" s="11"/>
      <c r="B1870" s="11"/>
      <c r="C1870" s="11"/>
      <c r="D1870" s="24"/>
      <c r="E1870" s="11"/>
      <c r="F1870" s="24"/>
      <c r="G1870" s="11"/>
      <c r="H1870" s="11"/>
    </row>
    <row r="1871" spans="1:8" ht="12.75" hidden="1">
      <c r="A1871" s="11"/>
      <c r="B1871" s="11"/>
      <c r="C1871" s="11"/>
      <c r="D1871" s="24"/>
      <c r="E1871" s="11"/>
      <c r="F1871" s="24"/>
      <c r="G1871" s="11"/>
      <c r="H1871" s="11"/>
    </row>
    <row r="1872" spans="1:8" ht="12.75" hidden="1">
      <c r="A1872" s="11"/>
      <c r="B1872" s="11"/>
      <c r="C1872" s="11"/>
      <c r="D1872" s="24"/>
      <c r="E1872" s="11"/>
      <c r="F1872" s="24"/>
      <c r="G1872" s="11"/>
      <c r="H1872" s="11"/>
    </row>
    <row r="1873" spans="1:8" ht="12.75" hidden="1">
      <c r="A1873" s="11"/>
      <c r="B1873" s="11"/>
      <c r="C1873" s="11"/>
      <c r="D1873" s="24"/>
      <c r="E1873" s="11"/>
      <c r="F1873" s="24"/>
      <c r="G1873" s="11"/>
      <c r="H1873" s="11"/>
    </row>
    <row r="1874" spans="1:8" ht="12.75" hidden="1">
      <c r="A1874" s="11"/>
      <c r="B1874" s="11"/>
      <c r="C1874" s="11"/>
      <c r="D1874" s="24"/>
      <c r="E1874" s="11"/>
      <c r="F1874" s="24"/>
      <c r="G1874" s="11"/>
      <c r="H1874" s="11"/>
    </row>
    <row r="1875" spans="1:8" ht="12.75" hidden="1">
      <c r="A1875" s="11"/>
      <c r="B1875" s="11"/>
      <c r="C1875" s="11"/>
      <c r="D1875" s="24"/>
      <c r="E1875" s="11"/>
      <c r="F1875" s="24"/>
      <c r="G1875" s="11"/>
      <c r="H1875" s="11"/>
    </row>
    <row r="1876" spans="1:8" ht="12.75" hidden="1">
      <c r="A1876" s="11"/>
      <c r="B1876" s="11"/>
      <c r="C1876" s="11"/>
      <c r="D1876" s="24"/>
      <c r="E1876" s="11"/>
      <c r="F1876" s="24"/>
      <c r="G1876" s="11"/>
      <c r="H1876" s="11"/>
    </row>
    <row r="1877" spans="1:8" ht="12.75" hidden="1">
      <c r="A1877" s="11"/>
      <c r="B1877" s="11"/>
      <c r="C1877" s="11"/>
      <c r="D1877" s="24"/>
      <c r="E1877" s="11"/>
      <c r="F1877" s="24"/>
      <c r="G1877" s="11"/>
      <c r="H1877" s="11"/>
    </row>
    <row r="1878" spans="1:8" ht="12.75" hidden="1">
      <c r="A1878" s="11"/>
      <c r="B1878" s="11"/>
      <c r="C1878" s="11"/>
      <c r="D1878" s="24"/>
      <c r="E1878" s="11"/>
      <c r="F1878" s="24"/>
      <c r="G1878" s="11"/>
      <c r="H1878" s="11"/>
    </row>
    <row r="1879" spans="1:8" ht="12.75" hidden="1">
      <c r="A1879" s="11"/>
      <c r="B1879" s="11"/>
      <c r="C1879" s="11"/>
      <c r="D1879" s="24"/>
      <c r="E1879" s="11"/>
      <c r="F1879" s="24"/>
      <c r="G1879" s="11"/>
      <c r="H1879" s="11"/>
    </row>
    <row r="1880" spans="1:8" ht="12.75" hidden="1">
      <c r="A1880" s="11"/>
      <c r="B1880" s="11"/>
      <c r="C1880" s="11"/>
      <c r="D1880" s="24"/>
      <c r="E1880" s="11"/>
      <c r="F1880" s="24"/>
      <c r="G1880" s="11"/>
      <c r="H1880" s="11"/>
    </row>
    <row r="1881" spans="1:8" ht="12.75" hidden="1">
      <c r="A1881" s="11"/>
      <c r="B1881" s="11"/>
      <c r="C1881" s="11"/>
      <c r="D1881" s="24"/>
      <c r="E1881" s="11"/>
      <c r="F1881" s="24"/>
      <c r="G1881" s="11"/>
      <c r="H1881" s="11"/>
    </row>
    <row r="1882" spans="1:8" ht="12.75" hidden="1">
      <c r="A1882" s="11"/>
      <c r="B1882" s="11"/>
      <c r="C1882" s="11"/>
      <c r="D1882" s="24"/>
      <c r="E1882" s="11"/>
      <c r="F1882" s="24"/>
      <c r="G1882" s="11"/>
      <c r="H1882" s="11"/>
    </row>
    <row r="1883" spans="1:8" ht="12.75" hidden="1">
      <c r="A1883" s="11"/>
      <c r="B1883" s="11"/>
      <c r="C1883" s="11"/>
      <c r="D1883" s="24"/>
      <c r="E1883" s="11"/>
      <c r="F1883" s="24"/>
      <c r="G1883" s="11"/>
      <c r="H1883" s="11"/>
    </row>
    <row r="1884" spans="1:8" ht="12.75" hidden="1">
      <c r="A1884" s="11"/>
      <c r="B1884" s="11"/>
      <c r="C1884" s="11"/>
      <c r="D1884" s="24"/>
      <c r="E1884" s="11"/>
      <c r="F1884" s="24"/>
      <c r="G1884" s="11"/>
      <c r="H1884" s="11"/>
    </row>
    <row r="1885" spans="1:8" ht="12.75" hidden="1">
      <c r="A1885" s="11"/>
      <c r="B1885" s="11"/>
      <c r="C1885" s="11"/>
      <c r="D1885" s="24"/>
      <c r="E1885" s="11"/>
      <c r="F1885" s="24"/>
      <c r="G1885" s="11"/>
      <c r="H1885" s="11"/>
    </row>
    <row r="1886" spans="1:8" ht="12.75" hidden="1">
      <c r="A1886" s="11"/>
      <c r="B1886" s="11"/>
      <c r="C1886" s="11"/>
      <c r="D1886" s="24"/>
      <c r="E1886" s="11"/>
      <c r="F1886" s="24"/>
      <c r="G1886" s="11"/>
      <c r="H1886" s="11"/>
    </row>
    <row r="1887" spans="1:8" ht="12.75" hidden="1">
      <c r="A1887" s="11"/>
      <c r="B1887" s="11"/>
      <c r="C1887" s="11"/>
      <c r="D1887" s="24"/>
      <c r="E1887" s="11"/>
      <c r="F1887" s="24"/>
      <c r="G1887" s="11"/>
      <c r="H1887" s="11"/>
    </row>
    <row r="1888" spans="1:8" ht="12.75" hidden="1">
      <c r="A1888" s="11"/>
      <c r="B1888" s="11"/>
      <c r="C1888" s="11"/>
      <c r="D1888" s="24"/>
      <c r="E1888" s="11"/>
      <c r="F1888" s="24"/>
      <c r="G1888" s="11"/>
      <c r="H1888" s="11"/>
    </row>
    <row r="1889" spans="1:8" ht="12.75" hidden="1">
      <c r="A1889" s="11"/>
      <c r="B1889" s="11"/>
      <c r="C1889" s="11"/>
      <c r="D1889" s="24"/>
      <c r="E1889" s="11"/>
      <c r="F1889" s="24"/>
      <c r="G1889" s="11"/>
      <c r="H1889" s="11"/>
    </row>
    <row r="1890" spans="1:8" ht="12.75" hidden="1">
      <c r="A1890" s="11"/>
      <c r="B1890" s="11"/>
      <c r="C1890" s="11"/>
      <c r="D1890" s="24"/>
      <c r="E1890" s="11"/>
      <c r="F1890" s="24"/>
      <c r="G1890" s="11"/>
      <c r="H1890" s="11"/>
    </row>
    <row r="1891" spans="1:8" ht="12.75" hidden="1">
      <c r="A1891" s="11"/>
      <c r="B1891" s="11"/>
      <c r="C1891" s="11"/>
      <c r="D1891" s="24"/>
      <c r="E1891" s="11"/>
      <c r="F1891" s="24"/>
      <c r="G1891" s="11"/>
      <c r="H1891" s="11"/>
    </row>
    <row r="1892" spans="1:8" ht="12.75" hidden="1">
      <c r="A1892" s="11"/>
      <c r="B1892" s="11"/>
      <c r="C1892" s="11"/>
      <c r="D1892" s="24"/>
      <c r="E1892" s="11"/>
      <c r="F1892" s="24"/>
      <c r="G1892" s="11"/>
      <c r="H1892" s="11"/>
    </row>
    <row r="1893" spans="1:8" ht="12.75" hidden="1">
      <c r="A1893" s="11"/>
      <c r="B1893" s="11"/>
      <c r="C1893" s="11"/>
      <c r="D1893" s="24"/>
      <c r="E1893" s="11"/>
      <c r="F1893" s="24"/>
      <c r="G1893" s="11"/>
      <c r="H1893" s="11"/>
    </row>
    <row r="1894" spans="1:8" ht="12.75" hidden="1">
      <c r="A1894" s="11"/>
      <c r="B1894" s="11"/>
      <c r="C1894" s="11"/>
      <c r="D1894" s="24"/>
      <c r="E1894" s="11"/>
      <c r="F1894" s="24"/>
      <c r="G1894" s="11"/>
      <c r="H1894" s="11"/>
    </row>
    <row r="1895" spans="1:8" ht="12.75" hidden="1">
      <c r="A1895" s="11"/>
      <c r="B1895" s="11"/>
      <c r="C1895" s="11"/>
      <c r="D1895" s="24"/>
      <c r="E1895" s="11"/>
      <c r="F1895" s="24"/>
      <c r="G1895" s="11"/>
      <c r="H1895" s="11"/>
    </row>
    <row r="1896" spans="1:8" ht="12.75" hidden="1">
      <c r="A1896" s="11"/>
      <c r="B1896" s="11"/>
      <c r="C1896" s="11"/>
      <c r="D1896" s="24"/>
      <c r="E1896" s="11"/>
      <c r="F1896" s="24"/>
      <c r="G1896" s="11"/>
      <c r="H1896" s="11"/>
    </row>
    <row r="1897" spans="1:8" ht="12.75" hidden="1">
      <c r="A1897" s="11"/>
      <c r="B1897" s="11"/>
      <c r="C1897" s="11"/>
      <c r="D1897" s="24"/>
      <c r="E1897" s="11"/>
      <c r="F1897" s="24"/>
      <c r="G1897" s="11"/>
      <c r="H1897" s="11"/>
    </row>
    <row r="1898" spans="1:8" ht="12.75" hidden="1">
      <c r="A1898" s="11"/>
      <c r="B1898" s="11"/>
      <c r="C1898" s="11"/>
      <c r="D1898" s="24"/>
      <c r="E1898" s="11"/>
      <c r="F1898" s="24"/>
      <c r="G1898" s="11"/>
      <c r="H1898" s="11"/>
    </row>
    <row r="1899" spans="1:8" ht="12.75" hidden="1">
      <c r="A1899" s="11"/>
      <c r="B1899" s="11"/>
      <c r="C1899" s="11"/>
      <c r="D1899" s="24"/>
      <c r="E1899" s="11"/>
      <c r="F1899" s="24"/>
      <c r="G1899" s="11"/>
      <c r="H1899" s="11"/>
    </row>
    <row r="1900" spans="1:8" ht="12.75" hidden="1">
      <c r="A1900" s="11"/>
      <c r="B1900" s="11"/>
      <c r="C1900" s="11"/>
      <c r="D1900" s="24"/>
      <c r="E1900" s="11"/>
      <c r="F1900" s="24"/>
      <c r="G1900" s="11"/>
      <c r="H1900" s="11"/>
    </row>
    <row r="1901" spans="1:8" ht="12.75" hidden="1">
      <c r="A1901" s="11"/>
      <c r="B1901" s="11"/>
      <c r="C1901" s="11"/>
      <c r="D1901" s="24"/>
      <c r="E1901" s="11"/>
      <c r="F1901" s="24"/>
      <c r="G1901" s="11"/>
      <c r="H1901" s="11"/>
    </row>
    <row r="1902" spans="1:8" ht="12.75" hidden="1">
      <c r="A1902" s="11"/>
      <c r="B1902" s="11"/>
      <c r="C1902" s="11"/>
      <c r="D1902" s="24"/>
      <c r="E1902" s="11"/>
      <c r="F1902" s="24"/>
      <c r="G1902" s="11"/>
      <c r="H1902" s="11"/>
    </row>
    <row r="1903" spans="1:8" ht="12.75" hidden="1">
      <c r="A1903" s="11"/>
      <c r="B1903" s="11"/>
      <c r="C1903" s="11"/>
      <c r="D1903" s="24"/>
      <c r="E1903" s="11"/>
      <c r="F1903" s="24"/>
      <c r="G1903" s="11"/>
      <c r="H1903" s="11"/>
    </row>
    <row r="1904" spans="1:8" ht="12.75" hidden="1">
      <c r="A1904" s="11"/>
      <c r="B1904" s="11"/>
      <c r="C1904" s="11"/>
      <c r="D1904" s="24"/>
      <c r="E1904" s="11"/>
      <c r="F1904" s="24"/>
      <c r="G1904" s="11"/>
      <c r="H1904" s="11"/>
    </row>
    <row r="1905" spans="1:8" ht="12.75" hidden="1">
      <c r="A1905" s="11"/>
      <c r="B1905" s="11"/>
      <c r="C1905" s="11"/>
      <c r="D1905" s="24"/>
      <c r="E1905" s="11"/>
      <c r="F1905" s="24"/>
      <c r="G1905" s="11"/>
      <c r="H1905" s="11"/>
    </row>
    <row r="1906" spans="1:8" ht="12.75" hidden="1">
      <c r="A1906" s="11"/>
      <c r="B1906" s="11"/>
      <c r="C1906" s="11"/>
      <c r="D1906" s="24"/>
      <c r="E1906" s="11"/>
      <c r="F1906" s="24"/>
      <c r="G1906" s="11"/>
      <c r="H1906" s="11"/>
    </row>
    <row r="1907" spans="1:8" ht="12.75" hidden="1">
      <c r="A1907" s="11"/>
      <c r="B1907" s="11"/>
      <c r="C1907" s="11"/>
      <c r="D1907" s="24"/>
      <c r="E1907" s="11"/>
      <c r="F1907" s="24"/>
      <c r="G1907" s="11"/>
      <c r="H1907" s="11"/>
    </row>
    <row r="1908" spans="1:8" ht="12.75" hidden="1">
      <c r="A1908" s="11"/>
      <c r="B1908" s="11"/>
      <c r="C1908" s="11"/>
      <c r="D1908" s="24"/>
      <c r="E1908" s="11"/>
      <c r="F1908" s="24"/>
      <c r="G1908" s="11"/>
      <c r="H1908" s="11"/>
    </row>
    <row r="1909" spans="1:8" ht="12.75" hidden="1">
      <c r="A1909" s="11"/>
      <c r="B1909" s="11"/>
      <c r="C1909" s="11"/>
      <c r="D1909" s="24"/>
      <c r="E1909" s="11"/>
      <c r="F1909" s="24"/>
      <c r="G1909" s="11"/>
      <c r="H1909" s="11"/>
    </row>
    <row r="1910" spans="1:8" ht="12.75" hidden="1">
      <c r="A1910" s="11"/>
      <c r="B1910" s="11"/>
      <c r="C1910" s="11"/>
      <c r="D1910" s="24"/>
      <c r="E1910" s="11"/>
      <c r="F1910" s="24"/>
      <c r="G1910" s="11"/>
      <c r="H1910" s="11"/>
    </row>
    <row r="1911" spans="1:8" ht="12.75" hidden="1">
      <c r="A1911" s="11"/>
      <c r="B1911" s="11"/>
      <c r="C1911" s="11"/>
      <c r="D1911" s="24"/>
      <c r="E1911" s="11"/>
      <c r="F1911" s="24"/>
      <c r="G1911" s="11"/>
      <c r="H1911" s="11"/>
    </row>
    <row r="1912" spans="1:8" ht="12.75" hidden="1">
      <c r="A1912" s="11"/>
      <c r="B1912" s="11"/>
      <c r="C1912" s="11"/>
      <c r="D1912" s="24"/>
      <c r="E1912" s="11"/>
      <c r="F1912" s="24"/>
      <c r="G1912" s="11"/>
      <c r="H1912" s="11"/>
    </row>
    <row r="1913" spans="1:8" ht="12.75" hidden="1">
      <c r="A1913" s="11"/>
      <c r="B1913" s="11"/>
      <c r="C1913" s="11"/>
      <c r="D1913" s="24"/>
      <c r="E1913" s="11"/>
      <c r="F1913" s="24"/>
      <c r="G1913" s="11"/>
      <c r="H1913" s="11"/>
    </row>
    <row r="1914" spans="1:8" ht="12.75" hidden="1">
      <c r="A1914" s="11"/>
      <c r="B1914" s="11"/>
      <c r="C1914" s="11"/>
      <c r="D1914" s="24"/>
      <c r="E1914" s="11"/>
      <c r="F1914" s="24"/>
      <c r="G1914" s="11"/>
      <c r="H1914" s="11"/>
    </row>
    <row r="1915" spans="1:8" ht="12.75" hidden="1">
      <c r="A1915" s="11"/>
      <c r="B1915" s="11"/>
      <c r="C1915" s="11"/>
      <c r="D1915" s="24"/>
      <c r="E1915" s="11"/>
      <c r="F1915" s="24"/>
      <c r="G1915" s="11"/>
      <c r="H1915" s="11"/>
    </row>
    <row r="1916" spans="1:8" ht="12.75" hidden="1">
      <c r="A1916" s="11"/>
      <c r="B1916" s="11"/>
      <c r="C1916" s="11"/>
      <c r="D1916" s="24"/>
      <c r="E1916" s="11"/>
      <c r="F1916" s="24"/>
      <c r="G1916" s="11"/>
      <c r="H1916" s="11"/>
    </row>
    <row r="1917" spans="1:8" ht="12.75" hidden="1">
      <c r="A1917" s="11"/>
      <c r="B1917" s="11"/>
      <c r="C1917" s="11"/>
      <c r="D1917" s="24"/>
      <c r="E1917" s="11"/>
      <c r="F1917" s="24"/>
      <c r="G1917" s="11"/>
      <c r="H1917" s="11"/>
    </row>
    <row r="1918" spans="1:8" ht="12.75" hidden="1">
      <c r="A1918" s="11"/>
      <c r="B1918" s="11"/>
      <c r="C1918" s="11"/>
      <c r="D1918" s="24"/>
      <c r="E1918" s="11"/>
      <c r="F1918" s="24"/>
      <c r="G1918" s="11"/>
      <c r="H1918" s="11"/>
    </row>
    <row r="1919" spans="1:8" ht="12.75" hidden="1">
      <c r="A1919" s="11"/>
      <c r="B1919" s="11"/>
      <c r="C1919" s="11"/>
      <c r="D1919" s="24"/>
      <c r="E1919" s="11"/>
      <c r="F1919" s="24"/>
      <c r="G1919" s="11"/>
      <c r="H1919" s="11"/>
    </row>
    <row r="1920" spans="1:8" ht="12.75" hidden="1">
      <c r="A1920" s="11"/>
      <c r="B1920" s="11"/>
      <c r="C1920" s="11"/>
      <c r="D1920" s="24"/>
      <c r="E1920" s="11"/>
      <c r="F1920" s="24"/>
      <c r="G1920" s="11"/>
      <c r="H1920" s="11"/>
    </row>
    <row r="1921" spans="1:8" ht="12.75" hidden="1">
      <c r="A1921" s="11"/>
      <c r="B1921" s="11"/>
      <c r="C1921" s="11"/>
      <c r="D1921" s="24"/>
      <c r="E1921" s="11"/>
      <c r="F1921" s="24"/>
      <c r="G1921" s="11"/>
      <c r="H1921" s="11"/>
    </row>
    <row r="1922" spans="1:8" ht="12.75" hidden="1">
      <c r="A1922" s="11"/>
      <c r="B1922" s="11"/>
      <c r="C1922" s="11"/>
      <c r="D1922" s="24"/>
      <c r="E1922" s="11"/>
      <c r="F1922" s="24"/>
      <c r="G1922" s="11"/>
      <c r="H1922" s="11"/>
    </row>
    <row r="1923" spans="1:8" ht="12.75" hidden="1">
      <c r="A1923" s="11"/>
      <c r="B1923" s="11"/>
      <c r="C1923" s="11"/>
      <c r="D1923" s="24"/>
      <c r="E1923" s="11"/>
      <c r="F1923" s="24"/>
      <c r="G1923" s="11"/>
      <c r="H1923" s="11"/>
    </row>
    <row r="1924" spans="1:8" ht="12.75" hidden="1">
      <c r="A1924" s="11"/>
      <c r="B1924" s="11"/>
      <c r="C1924" s="11"/>
      <c r="D1924" s="24"/>
      <c r="E1924" s="11"/>
      <c r="F1924" s="24"/>
      <c r="G1924" s="11"/>
      <c r="H1924" s="11"/>
    </row>
    <row r="1925" spans="1:8" ht="12.75" hidden="1">
      <c r="A1925" s="11"/>
      <c r="B1925" s="11"/>
      <c r="C1925" s="11"/>
      <c r="D1925" s="24"/>
      <c r="E1925" s="11"/>
      <c r="F1925" s="24"/>
      <c r="G1925" s="11"/>
      <c r="H1925" s="11"/>
    </row>
    <row r="1926" spans="1:8" ht="12.75" hidden="1">
      <c r="A1926" s="11"/>
      <c r="B1926" s="11"/>
      <c r="C1926" s="11"/>
      <c r="D1926" s="24"/>
      <c r="E1926" s="11"/>
      <c r="F1926" s="24"/>
      <c r="G1926" s="11"/>
      <c r="H1926" s="11"/>
    </row>
    <row r="1927" spans="1:8" ht="12.75" hidden="1">
      <c r="A1927" s="11"/>
      <c r="B1927" s="11"/>
      <c r="C1927" s="11"/>
      <c r="D1927" s="24"/>
      <c r="E1927" s="11"/>
      <c r="F1927" s="24"/>
      <c r="G1927" s="11"/>
      <c r="H1927" s="11"/>
    </row>
    <row r="1928" spans="1:8" ht="12.75" hidden="1">
      <c r="A1928" s="11"/>
      <c r="B1928" s="11"/>
      <c r="C1928" s="11"/>
      <c r="D1928" s="24"/>
      <c r="E1928" s="11"/>
      <c r="F1928" s="24"/>
      <c r="G1928" s="11"/>
      <c r="H1928" s="11"/>
    </row>
    <row r="1929" spans="1:8" ht="12.75" hidden="1">
      <c r="A1929" s="11"/>
      <c r="B1929" s="11"/>
      <c r="C1929" s="11"/>
      <c r="D1929" s="24"/>
      <c r="E1929" s="11"/>
      <c r="F1929" s="24"/>
      <c r="G1929" s="11"/>
      <c r="H1929" s="11"/>
    </row>
    <row r="1930" spans="1:8" ht="12.75" hidden="1">
      <c r="A1930" s="11"/>
      <c r="B1930" s="11"/>
      <c r="C1930" s="11"/>
      <c r="D1930" s="24"/>
      <c r="E1930" s="11"/>
      <c r="F1930" s="24"/>
      <c r="G1930" s="11"/>
      <c r="H1930" s="11"/>
    </row>
    <row r="1931" spans="1:8" ht="12.75" hidden="1">
      <c r="A1931" s="11"/>
      <c r="B1931" s="11"/>
      <c r="C1931" s="11"/>
      <c r="D1931" s="24"/>
      <c r="E1931" s="11"/>
      <c r="F1931" s="24"/>
      <c r="G1931" s="11"/>
      <c r="H1931" s="11"/>
    </row>
    <row r="1932" spans="1:8" ht="12.75" hidden="1">
      <c r="A1932" s="11"/>
      <c r="B1932" s="11"/>
      <c r="C1932" s="11"/>
      <c r="D1932" s="24"/>
      <c r="E1932" s="11"/>
      <c r="F1932" s="24"/>
      <c r="G1932" s="11"/>
      <c r="H1932" s="11"/>
    </row>
    <row r="1933" spans="1:8" ht="12.75" hidden="1">
      <c r="A1933" s="11"/>
      <c r="B1933" s="11"/>
      <c r="C1933" s="11"/>
      <c r="D1933" s="24"/>
      <c r="E1933" s="11"/>
      <c r="F1933" s="24"/>
      <c r="G1933" s="11"/>
      <c r="H1933" s="11"/>
    </row>
    <row r="1934" spans="1:8" ht="12.75" hidden="1">
      <c r="A1934" s="11"/>
      <c r="B1934" s="11"/>
      <c r="C1934" s="11"/>
      <c r="D1934" s="24"/>
      <c r="E1934" s="11"/>
      <c r="F1934" s="24"/>
      <c r="G1934" s="11"/>
      <c r="H1934" s="11"/>
    </row>
    <row r="1935" spans="1:8" ht="12.75" hidden="1">
      <c r="A1935" s="11"/>
      <c r="B1935" s="11"/>
      <c r="C1935" s="11"/>
      <c r="D1935" s="24"/>
      <c r="E1935" s="11"/>
      <c r="F1935" s="24"/>
      <c r="G1935" s="11"/>
      <c r="H1935" s="11"/>
    </row>
    <row r="1936" spans="1:8" ht="12.75" hidden="1">
      <c r="A1936" s="11"/>
      <c r="B1936" s="11"/>
      <c r="C1936" s="11"/>
      <c r="D1936" s="24"/>
      <c r="E1936" s="11"/>
      <c r="F1936" s="24"/>
      <c r="G1936" s="11"/>
      <c r="H1936" s="11"/>
    </row>
    <row r="1937" spans="1:8" ht="12.75" hidden="1">
      <c r="A1937" s="11"/>
      <c r="B1937" s="11"/>
      <c r="C1937" s="11"/>
      <c r="D1937" s="24"/>
      <c r="E1937" s="11"/>
      <c r="F1937" s="24"/>
      <c r="G1937" s="11"/>
      <c r="H1937" s="11"/>
    </row>
    <row r="1938" spans="1:8" ht="12.75" hidden="1">
      <c r="A1938" s="11"/>
      <c r="B1938" s="11"/>
      <c r="C1938" s="11"/>
      <c r="D1938" s="24"/>
      <c r="E1938" s="11"/>
      <c r="F1938" s="24"/>
      <c r="G1938" s="11"/>
      <c r="H1938" s="11"/>
    </row>
    <row r="1939" spans="1:8" ht="12.75" hidden="1">
      <c r="A1939" s="11"/>
      <c r="B1939" s="11"/>
      <c r="C1939" s="11"/>
      <c r="D1939" s="24"/>
      <c r="E1939" s="11"/>
      <c r="F1939" s="24"/>
      <c r="G1939" s="11"/>
      <c r="H1939" s="11"/>
    </row>
    <row r="1940" spans="1:8" ht="12.75" hidden="1">
      <c r="A1940" s="11"/>
      <c r="B1940" s="11"/>
      <c r="C1940" s="11"/>
      <c r="D1940" s="24"/>
      <c r="E1940" s="11"/>
      <c r="F1940" s="24"/>
      <c r="G1940" s="11"/>
      <c r="H1940" s="11"/>
    </row>
    <row r="1941" spans="1:8" ht="12.75" hidden="1">
      <c r="A1941" s="11"/>
      <c r="B1941" s="11"/>
      <c r="C1941" s="11"/>
      <c r="D1941" s="24"/>
      <c r="E1941" s="11"/>
      <c r="F1941" s="24"/>
      <c r="G1941" s="11"/>
      <c r="H1941" s="11"/>
    </row>
    <row r="1942" spans="1:8" ht="12.75" hidden="1">
      <c r="A1942" s="11"/>
      <c r="B1942" s="11"/>
      <c r="C1942" s="11"/>
      <c r="D1942" s="24"/>
      <c r="E1942" s="11"/>
      <c r="F1942" s="24"/>
      <c r="G1942" s="11"/>
      <c r="H1942" s="11"/>
    </row>
    <row r="1943" spans="1:8" ht="12.75" hidden="1">
      <c r="A1943" s="11"/>
      <c r="B1943" s="11"/>
      <c r="C1943" s="11"/>
      <c r="D1943" s="24"/>
      <c r="E1943" s="11"/>
      <c r="F1943" s="24"/>
      <c r="G1943" s="11"/>
      <c r="H1943" s="11"/>
    </row>
    <row r="1944" spans="1:8" ht="12.75" hidden="1">
      <c r="A1944" s="11"/>
      <c r="B1944" s="11"/>
      <c r="C1944" s="11"/>
      <c r="D1944" s="24"/>
      <c r="E1944" s="11"/>
      <c r="F1944" s="24"/>
      <c r="G1944" s="11"/>
      <c r="H1944" s="11"/>
    </row>
    <row r="1945" spans="1:8" ht="12.75" hidden="1">
      <c r="A1945" s="11"/>
      <c r="B1945" s="11"/>
      <c r="C1945" s="11"/>
      <c r="D1945" s="24"/>
      <c r="E1945" s="11"/>
      <c r="F1945" s="24"/>
      <c r="G1945" s="11"/>
      <c r="H1945" s="11"/>
    </row>
    <row r="1946" spans="1:8" ht="12.75" hidden="1">
      <c r="A1946" s="11"/>
      <c r="B1946" s="11"/>
      <c r="C1946" s="11"/>
      <c r="D1946" s="24"/>
      <c r="E1946" s="11"/>
      <c r="F1946" s="24"/>
      <c r="G1946" s="11"/>
      <c r="H1946" s="11"/>
    </row>
    <row r="1947" spans="1:8" ht="12.75" hidden="1">
      <c r="A1947" s="11"/>
      <c r="B1947" s="11"/>
      <c r="C1947" s="11"/>
      <c r="D1947" s="24"/>
      <c r="E1947" s="11"/>
      <c r="F1947" s="24"/>
      <c r="G1947" s="11"/>
      <c r="H1947" s="11"/>
    </row>
    <row r="1948" spans="1:8" ht="12.75" hidden="1">
      <c r="A1948" s="11"/>
      <c r="B1948" s="11"/>
      <c r="C1948" s="11"/>
      <c r="D1948" s="24"/>
      <c r="E1948" s="11"/>
      <c r="F1948" s="24"/>
      <c r="G1948" s="11"/>
      <c r="H1948" s="11"/>
    </row>
    <row r="1949" spans="1:8" ht="12.75" hidden="1">
      <c r="A1949" s="11"/>
      <c r="B1949" s="11"/>
      <c r="C1949" s="11"/>
      <c r="D1949" s="24"/>
      <c r="E1949" s="11"/>
      <c r="F1949" s="24"/>
      <c r="G1949" s="11"/>
      <c r="H1949" s="11"/>
    </row>
    <row r="1950" spans="1:8" ht="12.75" hidden="1">
      <c r="A1950" s="11"/>
      <c r="B1950" s="11"/>
      <c r="C1950" s="11"/>
      <c r="D1950" s="24"/>
      <c r="E1950" s="11"/>
      <c r="F1950" s="24"/>
      <c r="G1950" s="11"/>
      <c r="H1950" s="11"/>
    </row>
    <row r="1951" spans="1:8" ht="12.75" hidden="1">
      <c r="A1951" s="11"/>
      <c r="B1951" s="11"/>
      <c r="C1951" s="11"/>
      <c r="D1951" s="24"/>
      <c r="E1951" s="11"/>
      <c r="F1951" s="24"/>
      <c r="G1951" s="11"/>
      <c r="H1951" s="11"/>
    </row>
    <row r="1952" spans="1:8" ht="12.75" hidden="1">
      <c r="A1952" s="11"/>
      <c r="B1952" s="11"/>
      <c r="C1952" s="11"/>
      <c r="D1952" s="24"/>
      <c r="E1952" s="11"/>
      <c r="F1952" s="24"/>
      <c r="G1952" s="11"/>
      <c r="H1952" s="11"/>
    </row>
    <row r="1953" spans="1:8" ht="12.75" hidden="1">
      <c r="A1953" s="11"/>
      <c r="B1953" s="11"/>
      <c r="C1953" s="11"/>
      <c r="D1953" s="24"/>
      <c r="E1953" s="11"/>
      <c r="F1953" s="24"/>
      <c r="G1953" s="11"/>
      <c r="H1953" s="11"/>
    </row>
    <row r="1954" spans="1:8" ht="12.75" hidden="1">
      <c r="A1954" s="11"/>
      <c r="B1954" s="11"/>
      <c r="C1954" s="11"/>
      <c r="D1954" s="24"/>
      <c r="E1954" s="11"/>
      <c r="F1954" s="24"/>
      <c r="G1954" s="11"/>
      <c r="H1954" s="11"/>
    </row>
    <row r="1955" spans="1:8" ht="12.75" hidden="1">
      <c r="A1955" s="11"/>
      <c r="B1955" s="11"/>
      <c r="C1955" s="11"/>
      <c r="D1955" s="24"/>
      <c r="E1955" s="11"/>
      <c r="F1955" s="24"/>
      <c r="G1955" s="11"/>
      <c r="H1955" s="11"/>
    </row>
    <row r="1956" spans="1:8" ht="12.75" hidden="1">
      <c r="A1956" s="11"/>
      <c r="B1956" s="11"/>
      <c r="C1956" s="11"/>
      <c r="D1956" s="24"/>
      <c r="E1956" s="11"/>
      <c r="F1956" s="24"/>
      <c r="G1956" s="11"/>
      <c r="H1956" s="11"/>
    </row>
    <row r="1957" spans="1:8" ht="12.75" hidden="1">
      <c r="A1957" s="11"/>
      <c r="B1957" s="11"/>
      <c r="C1957" s="11"/>
      <c r="D1957" s="24"/>
      <c r="E1957" s="11"/>
      <c r="F1957" s="24"/>
      <c r="G1957" s="11"/>
      <c r="H1957" s="11"/>
    </row>
    <row r="1958" spans="1:8" ht="12.75" hidden="1">
      <c r="A1958" s="11"/>
      <c r="B1958" s="11"/>
      <c r="C1958" s="11"/>
      <c r="D1958" s="24"/>
      <c r="E1958" s="11"/>
      <c r="F1958" s="24"/>
      <c r="G1958" s="11"/>
      <c r="H1958" s="11"/>
    </row>
    <row r="1959" spans="1:8" ht="12.75" hidden="1">
      <c r="A1959" s="11"/>
      <c r="B1959" s="11"/>
      <c r="C1959" s="11"/>
      <c r="D1959" s="24"/>
      <c r="E1959" s="11"/>
      <c r="F1959" s="24"/>
      <c r="G1959" s="11"/>
      <c r="H1959" s="11"/>
    </row>
    <row r="1960" spans="1:8" ht="12.75" hidden="1">
      <c r="A1960" s="11"/>
      <c r="B1960" s="11"/>
      <c r="C1960" s="11"/>
      <c r="D1960" s="24"/>
      <c r="E1960" s="11"/>
      <c r="F1960" s="24"/>
      <c r="G1960" s="11"/>
      <c r="H1960" s="11"/>
    </row>
    <row r="1961" spans="1:8" ht="12.75" hidden="1">
      <c r="A1961" s="11"/>
      <c r="B1961" s="11"/>
      <c r="C1961" s="11"/>
      <c r="D1961" s="24"/>
      <c r="E1961" s="11"/>
      <c r="F1961" s="24"/>
      <c r="G1961" s="11"/>
      <c r="H1961" s="11"/>
    </row>
    <row r="1962" spans="1:8" ht="12.75" hidden="1">
      <c r="A1962" s="11"/>
      <c r="B1962" s="11"/>
      <c r="C1962" s="11"/>
      <c r="D1962" s="24"/>
      <c r="E1962" s="11"/>
      <c r="F1962" s="24"/>
      <c r="G1962" s="11"/>
      <c r="H1962" s="11"/>
    </row>
    <row r="1963" spans="1:8" ht="12.75" hidden="1">
      <c r="A1963" s="11"/>
      <c r="B1963" s="11"/>
      <c r="C1963" s="11"/>
      <c r="D1963" s="24"/>
      <c r="E1963" s="11"/>
      <c r="F1963" s="24"/>
      <c r="G1963" s="11"/>
      <c r="H1963" s="11"/>
    </row>
    <row r="1964" spans="1:8" ht="12.75" hidden="1">
      <c r="A1964" s="11"/>
      <c r="B1964" s="11"/>
      <c r="C1964" s="11"/>
      <c r="D1964" s="24"/>
      <c r="E1964" s="11"/>
      <c r="F1964" s="24"/>
      <c r="G1964" s="11"/>
      <c r="H1964" s="11"/>
    </row>
    <row r="1965" spans="1:8" ht="12.75" hidden="1">
      <c r="A1965" s="11"/>
      <c r="B1965" s="11"/>
      <c r="C1965" s="11"/>
      <c r="D1965" s="24"/>
      <c r="E1965" s="11"/>
      <c r="F1965" s="24"/>
      <c r="G1965" s="11"/>
      <c r="H1965" s="11"/>
    </row>
    <row r="1966" spans="1:8" ht="12.75" hidden="1">
      <c r="A1966" s="11"/>
      <c r="B1966" s="11"/>
      <c r="C1966" s="11"/>
      <c r="D1966" s="24"/>
      <c r="E1966" s="11"/>
      <c r="F1966" s="24"/>
      <c r="G1966" s="11"/>
      <c r="H1966" s="11"/>
    </row>
    <row r="1967" spans="1:8" ht="12.75" hidden="1">
      <c r="A1967" s="11"/>
      <c r="B1967" s="11"/>
      <c r="C1967" s="11"/>
      <c r="D1967" s="24"/>
      <c r="E1967" s="11"/>
      <c r="F1967" s="24"/>
      <c r="G1967" s="11"/>
      <c r="H1967" s="11"/>
    </row>
    <row r="1968" spans="1:8" ht="12.75" hidden="1">
      <c r="A1968" s="11"/>
      <c r="B1968" s="11"/>
      <c r="C1968" s="11"/>
      <c r="D1968" s="24"/>
      <c r="E1968" s="11"/>
      <c r="F1968" s="24"/>
      <c r="G1968" s="11"/>
      <c r="H1968" s="11"/>
    </row>
    <row r="1969" spans="1:8" ht="12.75" hidden="1">
      <c r="A1969" s="11"/>
      <c r="B1969" s="11"/>
      <c r="C1969" s="11"/>
      <c r="D1969" s="24"/>
      <c r="E1969" s="11"/>
      <c r="F1969" s="24"/>
      <c r="G1969" s="11"/>
      <c r="H1969" s="11"/>
    </row>
    <row r="1970" spans="1:8" ht="12.75" hidden="1">
      <c r="A1970" s="11"/>
      <c r="B1970" s="11"/>
      <c r="C1970" s="11"/>
      <c r="D1970" s="24"/>
      <c r="E1970" s="11"/>
      <c r="F1970" s="24"/>
      <c r="G1970" s="11"/>
      <c r="H1970" s="11"/>
    </row>
    <row r="1971" spans="1:8" ht="12.75" hidden="1">
      <c r="A1971" s="11"/>
      <c r="B1971" s="11"/>
      <c r="C1971" s="11"/>
      <c r="D1971" s="24"/>
      <c r="E1971" s="11"/>
      <c r="F1971" s="24"/>
      <c r="G1971" s="11"/>
      <c r="H1971" s="11"/>
    </row>
    <row r="1972" spans="1:8" ht="12.75" hidden="1">
      <c r="A1972" s="11"/>
      <c r="B1972" s="11"/>
      <c r="C1972" s="11"/>
      <c r="D1972" s="24"/>
      <c r="E1972" s="11"/>
      <c r="F1972" s="24"/>
      <c r="G1972" s="11"/>
      <c r="H1972" s="11"/>
    </row>
    <row r="1973" spans="1:8" ht="12.75" hidden="1">
      <c r="A1973" s="11"/>
      <c r="B1973" s="11"/>
      <c r="C1973" s="11"/>
      <c r="D1973" s="24"/>
      <c r="E1973" s="11"/>
      <c r="F1973" s="24"/>
      <c r="G1973" s="11"/>
      <c r="H1973" s="11"/>
    </row>
    <row r="1974" spans="1:8" ht="12.75" hidden="1">
      <c r="A1974" s="11"/>
      <c r="B1974" s="11"/>
      <c r="C1974" s="11"/>
      <c r="D1974" s="24"/>
      <c r="E1974" s="11"/>
      <c r="F1974" s="24"/>
      <c r="G1974" s="11"/>
      <c r="H1974" s="11"/>
    </row>
    <row r="1975" spans="1:8" ht="12.75" hidden="1">
      <c r="A1975" s="11"/>
      <c r="B1975" s="11"/>
      <c r="C1975" s="11"/>
      <c r="D1975" s="24"/>
      <c r="E1975" s="11"/>
      <c r="F1975" s="24"/>
      <c r="G1975" s="11"/>
      <c r="H1975" s="11"/>
    </row>
    <row r="1976" spans="1:8" ht="12.75" hidden="1">
      <c r="A1976" s="11"/>
      <c r="B1976" s="11"/>
      <c r="C1976" s="11"/>
      <c r="D1976" s="24"/>
      <c r="E1976" s="11"/>
      <c r="F1976" s="24"/>
      <c r="G1976" s="11"/>
      <c r="H1976" s="11"/>
    </row>
    <row r="1977" spans="1:8" ht="12.75" hidden="1">
      <c r="A1977" s="11"/>
      <c r="B1977" s="11"/>
      <c r="C1977" s="11"/>
      <c r="D1977" s="24"/>
      <c r="E1977" s="11"/>
      <c r="F1977" s="24"/>
      <c r="G1977" s="11"/>
      <c r="H1977" s="11"/>
    </row>
    <row r="1978" spans="1:8" ht="12.75" hidden="1">
      <c r="A1978" s="11"/>
      <c r="B1978" s="11"/>
      <c r="C1978" s="11"/>
      <c r="D1978" s="24"/>
      <c r="E1978" s="11"/>
      <c r="F1978" s="24"/>
      <c r="G1978" s="11"/>
      <c r="H1978" s="11"/>
    </row>
    <row r="1979" spans="1:8" ht="12.75" hidden="1">
      <c r="A1979" s="11"/>
      <c r="B1979" s="11"/>
      <c r="C1979" s="11"/>
      <c r="D1979" s="24"/>
      <c r="E1979" s="11"/>
      <c r="F1979" s="24"/>
      <c r="G1979" s="11"/>
      <c r="H1979" s="11"/>
    </row>
    <row r="1980" spans="1:8" ht="12.75" hidden="1">
      <c r="A1980" s="11"/>
      <c r="B1980" s="11"/>
      <c r="C1980" s="11"/>
      <c r="D1980" s="24"/>
      <c r="E1980" s="11"/>
      <c r="F1980" s="24"/>
      <c r="G1980" s="11"/>
      <c r="H1980" s="11"/>
    </row>
    <row r="1981" spans="1:8" ht="12.75" hidden="1">
      <c r="A1981" s="11"/>
      <c r="B1981" s="11"/>
      <c r="C1981" s="11"/>
      <c r="D1981" s="24"/>
      <c r="E1981" s="11"/>
      <c r="F1981" s="24"/>
      <c r="G1981" s="11"/>
      <c r="H1981" s="11"/>
    </row>
    <row r="1982" spans="1:8" ht="12.75" hidden="1">
      <c r="A1982" s="11"/>
      <c r="B1982" s="11"/>
      <c r="C1982" s="11"/>
      <c r="D1982" s="24"/>
      <c r="E1982" s="11"/>
      <c r="F1982" s="24"/>
      <c r="G1982" s="11"/>
      <c r="H1982" s="11"/>
    </row>
    <row r="1983" spans="1:8" ht="12.75" hidden="1">
      <c r="A1983" s="11"/>
      <c r="B1983" s="11"/>
      <c r="C1983" s="11"/>
      <c r="D1983" s="24"/>
      <c r="E1983" s="11"/>
      <c r="F1983" s="24"/>
      <c r="G1983" s="11"/>
      <c r="H1983" s="11"/>
    </row>
    <row r="1984" spans="1:8" ht="12.75" hidden="1">
      <c r="A1984" s="11"/>
      <c r="B1984" s="11"/>
      <c r="C1984" s="11"/>
      <c r="D1984" s="24"/>
      <c r="E1984" s="11"/>
      <c r="F1984" s="24"/>
      <c r="G1984" s="11"/>
      <c r="H1984" s="11"/>
    </row>
    <row r="1985" spans="1:8" ht="12.75" hidden="1">
      <c r="A1985" s="11"/>
      <c r="B1985" s="11"/>
      <c r="C1985" s="11"/>
      <c r="D1985" s="24"/>
      <c r="E1985" s="11"/>
      <c r="F1985" s="24"/>
      <c r="G1985" s="11"/>
      <c r="H1985" s="11"/>
    </row>
    <row r="1986" spans="1:8" ht="12.75" hidden="1">
      <c r="A1986" s="11"/>
      <c r="B1986" s="11"/>
      <c r="C1986" s="11"/>
      <c r="D1986" s="24"/>
      <c r="E1986" s="11"/>
      <c r="F1986" s="24"/>
      <c r="G1986" s="11"/>
      <c r="H1986" s="11"/>
    </row>
    <row r="1987" spans="1:8" ht="12.75" hidden="1">
      <c r="A1987" s="11"/>
      <c r="B1987" s="11"/>
      <c r="C1987" s="11"/>
      <c r="D1987" s="24"/>
      <c r="E1987" s="11"/>
      <c r="F1987" s="24"/>
      <c r="G1987" s="11"/>
      <c r="H1987" s="11"/>
    </row>
    <row r="1988" spans="1:8" ht="12.75" hidden="1">
      <c r="A1988" s="11"/>
      <c r="B1988" s="11"/>
      <c r="C1988" s="11"/>
      <c r="D1988" s="24"/>
      <c r="E1988" s="11"/>
      <c r="F1988" s="24"/>
      <c r="G1988" s="11"/>
      <c r="H1988" s="11"/>
    </row>
    <row r="1989" spans="1:8" ht="12.75" hidden="1">
      <c r="A1989" s="11"/>
      <c r="B1989" s="11"/>
      <c r="C1989" s="11"/>
      <c r="D1989" s="24"/>
      <c r="E1989" s="11"/>
      <c r="F1989" s="24"/>
      <c r="G1989" s="11"/>
      <c r="H1989" s="11"/>
    </row>
    <row r="1990" spans="1:8" ht="12.75" hidden="1">
      <c r="A1990" s="11"/>
      <c r="B1990" s="11"/>
      <c r="C1990" s="11"/>
      <c r="D1990" s="24"/>
      <c r="E1990" s="11"/>
      <c r="F1990" s="24"/>
      <c r="G1990" s="11"/>
      <c r="H1990" s="11"/>
    </row>
    <row r="1991" spans="1:8" ht="12.75" hidden="1">
      <c r="A1991" s="11"/>
      <c r="B1991" s="11"/>
      <c r="C1991" s="11"/>
      <c r="D1991" s="24"/>
      <c r="E1991" s="11"/>
      <c r="F1991" s="24"/>
      <c r="G1991" s="11"/>
      <c r="H1991" s="11"/>
    </row>
    <row r="1992" spans="1:8" ht="12.75" hidden="1">
      <c r="A1992" s="11"/>
      <c r="B1992" s="11"/>
      <c r="C1992" s="11"/>
      <c r="D1992" s="24"/>
      <c r="E1992" s="11"/>
      <c r="F1992" s="24"/>
      <c r="G1992" s="11"/>
      <c r="H1992" s="11"/>
    </row>
    <row r="1993" spans="1:8" ht="12.75" hidden="1">
      <c r="A1993" s="11"/>
      <c r="B1993" s="11"/>
      <c r="C1993" s="11"/>
      <c r="D1993" s="24"/>
      <c r="E1993" s="11"/>
      <c r="F1993" s="24"/>
      <c r="G1993" s="11"/>
      <c r="H1993" s="11"/>
    </row>
    <row r="1994" spans="1:8" ht="12.75" hidden="1">
      <c r="A1994" s="11"/>
      <c r="B1994" s="11"/>
      <c r="C1994" s="11"/>
      <c r="D1994" s="24"/>
      <c r="E1994" s="11"/>
      <c r="F1994" s="24"/>
      <c r="G1994" s="11"/>
      <c r="H1994" s="11"/>
    </row>
    <row r="1995" spans="1:8" ht="12.75" hidden="1">
      <c r="A1995" s="11"/>
      <c r="B1995" s="11"/>
      <c r="C1995" s="11"/>
      <c r="D1995" s="24"/>
      <c r="E1995" s="11"/>
      <c r="F1995" s="24"/>
      <c r="G1995" s="11"/>
      <c r="H1995" s="11"/>
    </row>
    <row r="1996" spans="1:8" ht="12.75" hidden="1">
      <c r="A1996" s="11"/>
      <c r="B1996" s="11"/>
      <c r="C1996" s="11"/>
      <c r="D1996" s="24"/>
      <c r="E1996" s="11"/>
      <c r="F1996" s="24"/>
      <c r="G1996" s="11"/>
      <c r="H1996" s="11"/>
    </row>
    <row r="1997" spans="1:8" ht="12.75" hidden="1">
      <c r="A1997" s="11"/>
      <c r="B1997" s="11"/>
      <c r="C1997" s="11"/>
      <c r="D1997" s="24"/>
      <c r="E1997" s="11"/>
      <c r="F1997" s="24"/>
      <c r="G1997" s="11"/>
      <c r="H1997" s="11"/>
    </row>
    <row r="1998" spans="1:8" ht="12.75" hidden="1">
      <c r="A1998" s="11"/>
      <c r="B1998" s="11"/>
      <c r="C1998" s="11"/>
      <c r="D1998" s="24"/>
      <c r="E1998" s="11"/>
      <c r="F1998" s="24"/>
      <c r="G1998" s="11"/>
      <c r="H1998" s="11"/>
    </row>
    <row r="1999" spans="1:8" ht="12.75" hidden="1">
      <c r="A1999" s="11"/>
      <c r="B1999" s="11"/>
      <c r="C1999" s="11"/>
      <c r="D1999" s="24"/>
      <c r="E1999" s="11"/>
      <c r="F1999" s="24"/>
      <c r="G1999" s="11"/>
      <c r="H1999" s="11"/>
    </row>
    <row r="2000" spans="1:8" ht="12.75" hidden="1">
      <c r="A2000" s="11"/>
      <c r="B2000" s="11"/>
      <c r="C2000" s="11"/>
      <c r="D2000" s="24"/>
      <c r="E2000" s="11"/>
      <c r="F2000" s="24"/>
      <c r="G2000" s="11"/>
      <c r="H2000" s="11"/>
    </row>
    <row r="2001" spans="1:8" ht="12.75" hidden="1">
      <c r="A2001" s="11"/>
      <c r="B2001" s="11"/>
      <c r="C2001" s="11"/>
      <c r="D2001" s="24"/>
      <c r="E2001" s="11"/>
      <c r="F2001" s="24"/>
      <c r="G2001" s="11"/>
      <c r="H2001" s="11"/>
    </row>
    <row r="2002" spans="1:8" ht="12.75" hidden="1">
      <c r="A2002" s="11"/>
      <c r="B2002" s="11"/>
      <c r="C2002" s="11"/>
      <c r="D2002" s="24"/>
      <c r="E2002" s="11"/>
      <c r="F2002" s="24"/>
      <c r="G2002" s="11"/>
      <c r="H2002" s="11"/>
    </row>
    <row r="2003" spans="1:8" ht="12.75" hidden="1">
      <c r="A2003" s="11"/>
      <c r="B2003" s="11"/>
      <c r="C2003" s="11"/>
      <c r="D2003" s="24"/>
      <c r="E2003" s="11"/>
      <c r="F2003" s="24"/>
      <c r="G2003" s="11"/>
      <c r="H2003" s="11"/>
    </row>
    <row r="2004" spans="1:8" ht="12.75" hidden="1">
      <c r="A2004" s="11"/>
      <c r="B2004" s="11"/>
      <c r="C2004" s="11"/>
      <c r="D2004" s="24"/>
      <c r="E2004" s="11"/>
      <c r="F2004" s="24"/>
      <c r="G2004" s="11"/>
      <c r="H2004" s="11"/>
    </row>
    <row r="2005" spans="1:8" ht="12.75" hidden="1">
      <c r="A2005" s="11"/>
      <c r="B2005" s="11"/>
      <c r="C2005" s="11"/>
      <c r="D2005" s="24"/>
      <c r="E2005" s="11"/>
      <c r="F2005" s="24"/>
      <c r="G2005" s="11"/>
      <c r="H2005" s="11"/>
    </row>
    <row r="2006" spans="1:8" ht="12.75" hidden="1">
      <c r="A2006" s="11"/>
      <c r="B2006" s="11"/>
      <c r="C2006" s="11"/>
      <c r="D2006" s="24"/>
      <c r="E2006" s="11"/>
      <c r="F2006" s="24"/>
      <c r="G2006" s="11"/>
      <c r="H2006" s="11"/>
    </row>
    <row r="2007" spans="1:8" ht="12.75" hidden="1">
      <c r="A2007" s="11"/>
      <c r="B2007" s="11"/>
      <c r="C2007" s="11"/>
      <c r="D2007" s="24"/>
      <c r="E2007" s="11"/>
      <c r="F2007" s="24"/>
      <c r="G2007" s="11"/>
      <c r="H2007" s="11"/>
    </row>
    <row r="2008" spans="1:8" ht="12.75" hidden="1">
      <c r="A2008" s="11"/>
      <c r="B2008" s="11"/>
      <c r="C2008" s="11"/>
      <c r="D2008" s="24"/>
      <c r="E2008" s="11"/>
      <c r="F2008" s="24"/>
      <c r="G2008" s="11"/>
      <c r="H2008" s="11"/>
    </row>
    <row r="2009" spans="1:8" ht="12.75" hidden="1">
      <c r="A2009" s="11"/>
      <c r="B2009" s="11"/>
      <c r="C2009" s="11"/>
      <c r="D2009" s="24"/>
      <c r="E2009" s="11"/>
      <c r="F2009" s="24"/>
      <c r="G2009" s="11"/>
      <c r="H2009" s="11"/>
    </row>
    <row r="2010" spans="1:8" ht="12.75" hidden="1">
      <c r="A2010" s="11"/>
      <c r="B2010" s="11"/>
      <c r="C2010" s="11"/>
      <c r="D2010" s="24"/>
      <c r="E2010" s="11"/>
      <c r="F2010" s="24"/>
      <c r="G2010" s="11"/>
      <c r="H2010" s="11"/>
    </row>
    <row r="2011" spans="1:8" ht="12.75" hidden="1">
      <c r="A2011" s="11"/>
      <c r="B2011" s="11"/>
      <c r="C2011" s="11"/>
      <c r="D2011" s="24"/>
      <c r="E2011" s="11"/>
      <c r="F2011" s="24"/>
      <c r="G2011" s="11"/>
      <c r="H2011" s="11"/>
    </row>
    <row r="2012" spans="1:8" ht="12.75" hidden="1">
      <c r="A2012" s="11"/>
      <c r="B2012" s="11"/>
      <c r="C2012" s="11"/>
      <c r="D2012" s="24"/>
      <c r="E2012" s="11"/>
      <c r="F2012" s="24"/>
      <c r="G2012" s="11"/>
      <c r="H2012" s="11"/>
    </row>
    <row r="2013" spans="1:8" ht="12.75" hidden="1">
      <c r="A2013" s="11"/>
      <c r="B2013" s="11"/>
      <c r="C2013" s="11"/>
      <c r="D2013" s="24"/>
      <c r="E2013" s="11"/>
      <c r="F2013" s="24"/>
      <c r="G2013" s="11"/>
      <c r="H2013" s="11"/>
    </row>
    <row r="2014" spans="1:8" ht="12.75" hidden="1">
      <c r="A2014" s="11"/>
      <c r="B2014" s="11"/>
      <c r="C2014" s="11"/>
      <c r="D2014" s="24"/>
      <c r="E2014" s="11"/>
      <c r="F2014" s="24"/>
      <c r="G2014" s="11"/>
      <c r="H2014" s="11"/>
    </row>
    <row r="2015" spans="1:8" ht="12.75" hidden="1">
      <c r="A2015" s="11"/>
      <c r="B2015" s="11"/>
      <c r="C2015" s="11"/>
      <c r="D2015" s="24"/>
      <c r="E2015" s="11"/>
      <c r="F2015" s="24"/>
      <c r="G2015" s="11"/>
      <c r="H2015" s="11"/>
    </row>
    <row r="2016" spans="1:8" ht="12.75" hidden="1">
      <c r="A2016" s="11"/>
      <c r="B2016" s="11"/>
      <c r="C2016" s="11"/>
      <c r="D2016" s="24"/>
      <c r="E2016" s="11"/>
      <c r="F2016" s="24"/>
      <c r="G2016" s="11"/>
      <c r="H2016" s="11"/>
    </row>
    <row r="2017" spans="1:8" ht="12.75" hidden="1">
      <c r="A2017" s="11"/>
      <c r="B2017" s="11"/>
      <c r="C2017" s="11"/>
      <c r="D2017" s="24"/>
      <c r="E2017" s="11"/>
      <c r="F2017" s="24"/>
      <c r="G2017" s="11"/>
      <c r="H2017" s="11"/>
    </row>
    <row r="2018" spans="1:8" ht="12.75" hidden="1">
      <c r="A2018" s="11"/>
      <c r="B2018" s="11"/>
      <c r="C2018" s="11"/>
      <c r="D2018" s="24"/>
      <c r="E2018" s="11"/>
      <c r="F2018" s="24"/>
      <c r="G2018" s="11"/>
      <c r="H2018" s="11"/>
    </row>
    <row r="2019" spans="1:8" ht="12.75" hidden="1">
      <c r="A2019" s="11"/>
      <c r="B2019" s="11"/>
      <c r="C2019" s="11"/>
      <c r="D2019" s="24"/>
      <c r="E2019" s="11"/>
      <c r="F2019" s="24"/>
      <c r="G2019" s="11"/>
      <c r="H2019" s="11"/>
    </row>
    <row r="2020" spans="1:8" ht="12.75" hidden="1">
      <c r="A2020" s="11"/>
      <c r="B2020" s="11"/>
      <c r="C2020" s="11"/>
      <c r="D2020" s="24"/>
      <c r="E2020" s="11"/>
      <c r="F2020" s="24"/>
      <c r="G2020" s="11"/>
      <c r="H2020" s="11"/>
    </row>
    <row r="2021" spans="1:8" ht="12.75" hidden="1">
      <c r="A2021" s="11"/>
      <c r="B2021" s="11"/>
      <c r="C2021" s="11"/>
      <c r="D2021" s="24"/>
      <c r="E2021" s="11"/>
      <c r="F2021" s="24"/>
      <c r="G2021" s="11"/>
      <c r="H2021" s="11"/>
    </row>
    <row r="2022" spans="1:8" ht="12.75" hidden="1">
      <c r="A2022" s="11"/>
      <c r="B2022" s="11"/>
      <c r="C2022" s="11"/>
      <c r="D2022" s="24"/>
      <c r="E2022" s="11"/>
      <c r="F2022" s="24"/>
      <c r="G2022" s="11"/>
      <c r="H2022" s="11"/>
    </row>
    <row r="2023" spans="1:8" ht="12.75" hidden="1">
      <c r="A2023" s="11"/>
      <c r="B2023" s="11"/>
      <c r="C2023" s="11"/>
      <c r="D2023" s="24"/>
      <c r="E2023" s="11"/>
      <c r="F2023" s="24"/>
      <c r="G2023" s="11"/>
      <c r="H2023" s="11"/>
    </row>
    <row r="2024" spans="1:8" ht="12.75" hidden="1">
      <c r="A2024" s="11"/>
      <c r="B2024" s="11"/>
      <c r="C2024" s="11"/>
      <c r="D2024" s="24"/>
      <c r="E2024" s="11"/>
      <c r="F2024" s="24"/>
      <c r="G2024" s="11"/>
      <c r="H2024" s="11"/>
    </row>
    <row r="2025" spans="1:8" ht="12.75" hidden="1">
      <c r="A2025" s="11"/>
      <c r="B2025" s="11"/>
      <c r="C2025" s="11"/>
      <c r="D2025" s="24"/>
      <c r="E2025" s="11"/>
      <c r="F2025" s="24"/>
      <c r="G2025" s="11"/>
      <c r="H2025" s="11"/>
    </row>
    <row r="2026" spans="1:8" ht="12.75" hidden="1">
      <c r="A2026" s="11"/>
      <c r="B2026" s="11"/>
      <c r="C2026" s="11"/>
      <c r="D2026" s="24"/>
      <c r="E2026" s="11"/>
      <c r="F2026" s="24"/>
      <c r="G2026" s="11"/>
      <c r="H2026" s="11"/>
    </row>
    <row r="2027" spans="1:8" ht="12.75" hidden="1">
      <c r="A2027" s="11"/>
      <c r="B2027" s="11"/>
      <c r="C2027" s="11"/>
      <c r="D2027" s="24"/>
      <c r="E2027" s="11"/>
      <c r="F2027" s="24"/>
      <c r="G2027" s="11"/>
      <c r="H2027" s="11"/>
    </row>
    <row r="2028" spans="1:8" ht="12.75" hidden="1">
      <c r="A2028" s="11"/>
      <c r="B2028" s="11"/>
      <c r="C2028" s="11"/>
      <c r="D2028" s="24"/>
      <c r="E2028" s="11"/>
      <c r="F2028" s="24"/>
      <c r="G2028" s="11"/>
      <c r="H2028" s="11"/>
    </row>
    <row r="2029" spans="1:8" ht="12.75" hidden="1">
      <c r="A2029" s="11"/>
      <c r="B2029" s="11"/>
      <c r="C2029" s="11"/>
      <c r="D2029" s="24"/>
      <c r="E2029" s="11"/>
      <c r="F2029" s="24"/>
      <c r="G2029" s="11"/>
      <c r="H2029" s="11"/>
    </row>
    <row r="2030" spans="1:8" ht="12.75" hidden="1">
      <c r="A2030" s="11"/>
      <c r="B2030" s="11"/>
      <c r="C2030" s="11"/>
      <c r="D2030" s="24"/>
      <c r="E2030" s="11"/>
      <c r="F2030" s="24"/>
      <c r="G2030" s="11"/>
      <c r="H2030" s="11"/>
    </row>
    <row r="2031" spans="1:8" ht="12.75" hidden="1">
      <c r="A2031" s="11"/>
      <c r="B2031" s="11"/>
      <c r="C2031" s="11"/>
      <c r="D2031" s="24"/>
      <c r="E2031" s="11"/>
      <c r="F2031" s="24"/>
      <c r="G2031" s="11"/>
      <c r="H2031" s="11"/>
    </row>
    <row r="2032" spans="1:8" ht="12.75" hidden="1">
      <c r="A2032" s="11"/>
      <c r="B2032" s="11"/>
      <c r="C2032" s="11"/>
      <c r="D2032" s="24"/>
      <c r="E2032" s="11"/>
      <c r="F2032" s="24"/>
      <c r="G2032" s="11"/>
      <c r="H2032" s="11"/>
    </row>
    <row r="2033" spans="1:8" ht="12.75" hidden="1">
      <c r="A2033" s="11"/>
      <c r="B2033" s="11"/>
      <c r="C2033" s="11"/>
      <c r="D2033" s="24"/>
      <c r="E2033" s="11"/>
      <c r="F2033" s="24"/>
      <c r="G2033" s="11"/>
      <c r="H2033" s="11"/>
    </row>
    <row r="2034" spans="1:8" ht="12.75" hidden="1">
      <c r="A2034" s="11"/>
      <c r="B2034" s="11"/>
      <c r="C2034" s="11"/>
      <c r="D2034" s="24"/>
      <c r="E2034" s="11"/>
      <c r="F2034" s="24"/>
      <c r="G2034" s="11"/>
      <c r="H2034" s="11"/>
    </row>
    <row r="2035" spans="1:8" ht="12.75" hidden="1">
      <c r="A2035" s="11"/>
      <c r="B2035" s="11"/>
      <c r="C2035" s="11"/>
      <c r="D2035" s="24"/>
      <c r="E2035" s="11"/>
      <c r="F2035" s="24"/>
      <c r="G2035" s="11"/>
      <c r="H2035" s="11"/>
    </row>
    <row r="2036" spans="1:8" ht="12.75" hidden="1">
      <c r="A2036" s="11"/>
      <c r="B2036" s="11"/>
      <c r="C2036" s="11"/>
      <c r="D2036" s="24"/>
      <c r="E2036" s="11"/>
      <c r="F2036" s="24"/>
      <c r="G2036" s="11"/>
      <c r="H2036" s="11"/>
    </row>
    <row r="2037" spans="1:8" ht="12.75" hidden="1">
      <c r="A2037" s="11"/>
      <c r="B2037" s="11"/>
      <c r="C2037" s="11"/>
      <c r="D2037" s="24"/>
      <c r="E2037" s="11"/>
      <c r="F2037" s="24"/>
      <c r="G2037" s="11"/>
      <c r="H2037" s="11"/>
    </row>
    <row r="2038" spans="1:8" ht="12.75" hidden="1">
      <c r="A2038" s="11"/>
      <c r="B2038" s="11"/>
      <c r="C2038" s="11"/>
      <c r="D2038" s="24"/>
      <c r="E2038" s="11"/>
      <c r="F2038" s="24"/>
      <c r="G2038" s="11"/>
      <c r="H2038" s="11"/>
    </row>
    <row r="2039" spans="1:8" ht="12.75" hidden="1">
      <c r="A2039" s="11"/>
      <c r="B2039" s="11"/>
      <c r="C2039" s="11"/>
      <c r="D2039" s="24"/>
      <c r="E2039" s="11"/>
      <c r="F2039" s="24"/>
      <c r="G2039" s="11"/>
      <c r="H2039" s="11"/>
    </row>
    <row r="2040" spans="1:8" ht="12.75" hidden="1">
      <c r="A2040" s="11"/>
      <c r="B2040" s="11"/>
      <c r="C2040" s="11"/>
      <c r="D2040" s="24"/>
      <c r="E2040" s="11"/>
      <c r="F2040" s="24"/>
      <c r="G2040" s="11"/>
      <c r="H2040" s="11"/>
    </row>
    <row r="2041" spans="1:8" ht="12.75" hidden="1">
      <c r="A2041" s="11"/>
      <c r="B2041" s="11"/>
      <c r="C2041" s="11"/>
      <c r="D2041" s="24"/>
      <c r="E2041" s="11"/>
      <c r="F2041" s="24"/>
      <c r="G2041" s="11"/>
      <c r="H2041" s="11"/>
    </row>
    <row r="2042" spans="1:8" ht="12.75" hidden="1">
      <c r="A2042" s="11"/>
      <c r="B2042" s="11"/>
      <c r="C2042" s="11"/>
      <c r="D2042" s="24"/>
      <c r="E2042" s="11"/>
      <c r="F2042" s="24"/>
      <c r="G2042" s="11"/>
      <c r="H2042" s="11"/>
    </row>
    <row r="2043" spans="1:8" ht="12.75" hidden="1">
      <c r="A2043" s="11"/>
      <c r="B2043" s="11"/>
      <c r="C2043" s="11"/>
      <c r="D2043" s="24"/>
      <c r="E2043" s="11"/>
      <c r="F2043" s="24"/>
      <c r="G2043" s="11"/>
      <c r="H2043" s="11"/>
    </row>
    <row r="2044" spans="1:8" ht="12.75" hidden="1">
      <c r="A2044" s="11"/>
      <c r="B2044" s="11"/>
      <c r="C2044" s="11"/>
      <c r="D2044" s="24"/>
      <c r="E2044" s="11"/>
      <c r="F2044" s="24"/>
      <c r="G2044" s="11"/>
      <c r="H2044" s="11"/>
    </row>
    <row r="2045" spans="1:8" ht="12.75" hidden="1">
      <c r="A2045" s="11"/>
      <c r="B2045" s="11"/>
      <c r="C2045" s="11"/>
      <c r="D2045" s="24"/>
      <c r="E2045" s="11"/>
      <c r="F2045" s="24"/>
      <c r="G2045" s="11"/>
      <c r="H2045" s="11"/>
    </row>
    <row r="2046" spans="1:8" ht="12.75" hidden="1">
      <c r="A2046" s="11"/>
      <c r="B2046" s="11"/>
      <c r="C2046" s="11"/>
      <c r="D2046" s="24"/>
      <c r="E2046" s="11"/>
      <c r="F2046" s="24"/>
      <c r="G2046" s="11"/>
      <c r="H2046" s="11"/>
    </row>
    <row r="2047" spans="1:8" ht="12.75" hidden="1">
      <c r="A2047" s="11"/>
      <c r="B2047" s="11"/>
      <c r="C2047" s="11"/>
      <c r="D2047" s="24"/>
      <c r="E2047" s="11"/>
      <c r="F2047" s="24"/>
      <c r="G2047" s="11"/>
      <c r="H2047" s="11"/>
    </row>
    <row r="2048" spans="1:8" ht="12.75" hidden="1">
      <c r="A2048" s="11"/>
      <c r="B2048" s="11"/>
      <c r="C2048" s="11"/>
      <c r="D2048" s="24"/>
      <c r="E2048" s="11"/>
      <c r="F2048" s="24"/>
      <c r="G2048" s="11"/>
      <c r="H2048" s="11"/>
    </row>
    <row r="2049" spans="1:8" ht="12.75" hidden="1">
      <c r="A2049" s="11"/>
      <c r="B2049" s="11"/>
      <c r="C2049" s="11"/>
      <c r="D2049" s="24"/>
      <c r="E2049" s="11"/>
      <c r="F2049" s="24"/>
      <c r="G2049" s="11"/>
      <c r="H2049" s="11"/>
    </row>
    <row r="2050" spans="1:8" ht="12.75" hidden="1">
      <c r="A2050" s="11"/>
      <c r="B2050" s="11"/>
      <c r="C2050" s="11"/>
      <c r="D2050" s="24"/>
      <c r="E2050" s="11"/>
      <c r="F2050" s="24"/>
      <c r="G2050" s="11"/>
      <c r="H2050" s="11"/>
    </row>
    <row r="2051" spans="1:8" ht="12.75" hidden="1">
      <c r="A2051" s="11"/>
      <c r="B2051" s="11"/>
      <c r="C2051" s="11"/>
      <c r="D2051" s="24"/>
      <c r="E2051" s="11"/>
      <c r="F2051" s="24"/>
      <c r="G2051" s="11"/>
      <c r="H2051" s="11"/>
    </row>
    <row r="2052" spans="1:8" ht="12.75" hidden="1">
      <c r="A2052" s="11"/>
      <c r="B2052" s="11"/>
      <c r="C2052" s="11"/>
      <c r="D2052" s="24"/>
      <c r="E2052" s="11"/>
      <c r="F2052" s="24"/>
      <c r="G2052" s="11"/>
      <c r="H2052" s="11"/>
    </row>
    <row r="2053" spans="1:8" ht="12.75" hidden="1">
      <c r="A2053" s="11"/>
      <c r="B2053" s="11"/>
      <c r="C2053" s="11"/>
      <c r="D2053" s="24"/>
      <c r="E2053" s="11"/>
      <c r="F2053" s="24"/>
      <c r="G2053" s="11"/>
      <c r="H2053" s="11"/>
    </row>
    <row r="2054" spans="1:8" ht="12.75" hidden="1">
      <c r="A2054" s="11"/>
      <c r="B2054" s="11"/>
      <c r="C2054" s="11"/>
      <c r="D2054" s="24"/>
      <c r="E2054" s="11"/>
      <c r="F2054" s="24"/>
      <c r="G2054" s="11"/>
      <c r="H2054" s="11"/>
    </row>
    <row r="2055" spans="1:8" ht="12.75" hidden="1">
      <c r="A2055" s="11"/>
      <c r="B2055" s="11"/>
      <c r="C2055" s="11"/>
      <c r="D2055" s="24"/>
      <c r="E2055" s="11"/>
      <c r="F2055" s="24"/>
      <c r="G2055" s="11"/>
      <c r="H2055" s="11"/>
    </row>
    <row r="2056" spans="1:8" ht="12.75" hidden="1">
      <c r="A2056" s="11"/>
      <c r="B2056" s="11"/>
      <c r="C2056" s="11"/>
      <c r="D2056" s="24"/>
      <c r="E2056" s="11"/>
      <c r="F2056" s="24"/>
      <c r="G2056" s="11"/>
      <c r="H2056" s="11"/>
    </row>
    <row r="2057" spans="1:8" ht="12.75" hidden="1">
      <c r="A2057" s="11"/>
      <c r="B2057" s="11"/>
      <c r="C2057" s="11"/>
      <c r="D2057" s="24"/>
      <c r="E2057" s="11"/>
      <c r="F2057" s="24"/>
      <c r="G2057" s="11"/>
      <c r="H2057" s="11"/>
    </row>
    <row r="2058" spans="1:8" ht="12.75" hidden="1">
      <c r="A2058" s="11"/>
      <c r="B2058" s="11"/>
      <c r="C2058" s="11"/>
      <c r="D2058" s="24"/>
      <c r="E2058" s="11"/>
      <c r="F2058" s="24"/>
      <c r="G2058" s="11"/>
      <c r="H2058" s="11"/>
    </row>
    <row r="2059" spans="1:8" ht="12.75" hidden="1">
      <c r="A2059" s="11"/>
      <c r="B2059" s="11"/>
      <c r="C2059" s="11"/>
      <c r="D2059" s="24"/>
      <c r="E2059" s="11"/>
      <c r="F2059" s="24"/>
      <c r="G2059" s="11"/>
      <c r="H2059" s="11"/>
    </row>
    <row r="2060" spans="1:8" ht="12.75" hidden="1">
      <c r="A2060" s="11"/>
      <c r="B2060" s="11"/>
      <c r="C2060" s="11"/>
      <c r="D2060" s="24"/>
      <c r="E2060" s="11"/>
      <c r="F2060" s="24"/>
      <c r="G2060" s="11"/>
      <c r="H2060" s="11"/>
    </row>
    <row r="2061" spans="1:8" ht="12.75" hidden="1">
      <c r="A2061" s="11"/>
      <c r="B2061" s="11"/>
      <c r="C2061" s="11"/>
      <c r="D2061" s="24"/>
      <c r="E2061" s="11"/>
      <c r="F2061" s="24"/>
      <c r="G2061" s="11"/>
      <c r="H2061" s="11"/>
    </row>
    <row r="2062" spans="1:8" ht="12.75" hidden="1">
      <c r="A2062" s="11"/>
      <c r="B2062" s="11"/>
      <c r="C2062" s="11"/>
      <c r="D2062" s="24"/>
      <c r="E2062" s="11"/>
      <c r="F2062" s="24"/>
      <c r="G2062" s="11"/>
      <c r="H2062" s="11"/>
    </row>
    <row r="2063" spans="1:8" ht="12.75" hidden="1">
      <c r="A2063" s="11"/>
      <c r="B2063" s="11"/>
      <c r="C2063" s="11"/>
      <c r="D2063" s="24"/>
      <c r="E2063" s="11"/>
      <c r="F2063" s="24"/>
      <c r="G2063" s="11"/>
      <c r="H2063" s="11"/>
    </row>
    <row r="2064" spans="1:8" ht="12.75" hidden="1">
      <c r="A2064" s="11"/>
      <c r="B2064" s="11"/>
      <c r="C2064" s="11"/>
      <c r="D2064" s="24"/>
      <c r="E2064" s="11"/>
      <c r="F2064" s="24"/>
      <c r="G2064" s="11"/>
      <c r="H2064" s="11"/>
    </row>
    <row r="2065" spans="1:8" ht="12.75" hidden="1">
      <c r="A2065" s="11"/>
      <c r="B2065" s="11"/>
      <c r="C2065" s="11"/>
      <c r="D2065" s="24"/>
      <c r="E2065" s="11"/>
      <c r="F2065" s="24"/>
      <c r="G2065" s="11"/>
      <c r="H2065" s="11"/>
    </row>
    <row r="2066" spans="1:8" ht="12.75" hidden="1">
      <c r="A2066" s="11"/>
      <c r="B2066" s="11"/>
      <c r="C2066" s="11"/>
      <c r="D2066" s="24"/>
      <c r="E2066" s="11"/>
      <c r="F2066" s="24"/>
      <c r="G2066" s="11"/>
      <c r="H2066" s="11"/>
    </row>
    <row r="2067" spans="1:8" ht="12.75" hidden="1">
      <c r="A2067" s="11"/>
      <c r="B2067" s="11"/>
      <c r="C2067" s="11"/>
      <c r="D2067" s="24"/>
      <c r="E2067" s="11"/>
      <c r="F2067" s="24"/>
      <c r="G2067" s="11"/>
      <c r="H2067" s="11"/>
    </row>
    <row r="2068" spans="1:8" ht="12.75" hidden="1">
      <c r="A2068" s="11"/>
      <c r="B2068" s="11"/>
      <c r="C2068" s="11"/>
      <c r="D2068" s="24"/>
      <c r="E2068" s="11"/>
      <c r="F2068" s="24"/>
      <c r="G2068" s="11"/>
      <c r="H2068" s="11"/>
    </row>
    <row r="2069" spans="1:8" ht="12.75" hidden="1">
      <c r="A2069" s="11"/>
      <c r="B2069" s="11"/>
      <c r="C2069" s="11"/>
      <c r="D2069" s="24"/>
      <c r="E2069" s="11"/>
      <c r="F2069" s="24"/>
      <c r="G2069" s="11"/>
      <c r="H2069" s="11"/>
    </row>
    <row r="2070" spans="1:8" ht="12.75" hidden="1">
      <c r="A2070" s="11"/>
      <c r="B2070" s="11"/>
      <c r="C2070" s="11"/>
      <c r="D2070" s="24"/>
      <c r="E2070" s="11"/>
      <c r="F2070" s="24"/>
      <c r="G2070" s="11"/>
      <c r="H2070" s="11"/>
    </row>
    <row r="2071" spans="1:8" ht="12.75" hidden="1">
      <c r="A2071" s="11"/>
      <c r="B2071" s="11"/>
      <c r="C2071" s="11"/>
      <c r="D2071" s="24"/>
      <c r="E2071" s="11"/>
      <c r="F2071" s="24"/>
      <c r="G2071" s="11"/>
      <c r="H2071" s="11"/>
    </row>
    <row r="2072" spans="1:8" ht="12.75" hidden="1">
      <c r="A2072" s="11"/>
      <c r="B2072" s="11"/>
      <c r="C2072" s="11"/>
      <c r="D2072" s="24"/>
      <c r="E2072" s="11"/>
      <c r="F2072" s="24"/>
      <c r="G2072" s="11"/>
      <c r="H2072" s="11"/>
    </row>
    <row r="2073" spans="1:8" ht="12.75" hidden="1">
      <c r="A2073" s="11"/>
      <c r="B2073" s="11"/>
      <c r="C2073" s="11"/>
      <c r="D2073" s="24"/>
      <c r="E2073" s="11"/>
      <c r="F2073" s="24"/>
      <c r="G2073" s="11"/>
      <c r="H2073" s="11"/>
    </row>
    <row r="2074" spans="1:8" ht="12.75" hidden="1">
      <c r="A2074" s="11"/>
      <c r="B2074" s="11"/>
      <c r="C2074" s="11"/>
      <c r="D2074" s="24"/>
      <c r="E2074" s="11"/>
      <c r="F2074" s="24"/>
      <c r="G2074" s="11"/>
      <c r="H2074" s="11"/>
    </row>
    <row r="2075" spans="1:8" ht="12.75" hidden="1">
      <c r="A2075" s="11"/>
      <c r="B2075" s="11"/>
      <c r="C2075" s="11"/>
      <c r="D2075" s="24"/>
      <c r="E2075" s="11"/>
      <c r="F2075" s="24"/>
      <c r="G2075" s="11"/>
      <c r="H2075" s="11"/>
    </row>
    <row r="2076" spans="1:8" ht="12.75" hidden="1">
      <c r="A2076" s="11"/>
      <c r="B2076" s="11"/>
      <c r="C2076" s="11"/>
      <c r="D2076" s="24"/>
      <c r="E2076" s="11"/>
      <c r="F2076" s="24"/>
      <c r="G2076" s="11"/>
      <c r="H2076" s="11"/>
    </row>
    <row r="2077" spans="1:8" ht="12.75" hidden="1">
      <c r="A2077" s="11"/>
      <c r="B2077" s="11"/>
      <c r="C2077" s="11"/>
      <c r="D2077" s="24"/>
      <c r="E2077" s="11"/>
      <c r="F2077" s="24"/>
      <c r="G2077" s="11"/>
      <c r="H2077" s="11"/>
    </row>
    <row r="2078" spans="1:8" ht="12.75" hidden="1">
      <c r="A2078" s="11"/>
      <c r="B2078" s="11"/>
      <c r="C2078" s="11"/>
      <c r="D2078" s="24"/>
      <c r="E2078" s="11"/>
      <c r="F2078" s="24"/>
      <c r="G2078" s="11"/>
      <c r="H2078" s="11"/>
    </row>
    <row r="2079" spans="1:8" ht="12.75" hidden="1">
      <c r="A2079" s="11"/>
      <c r="B2079" s="11"/>
      <c r="C2079" s="11"/>
      <c r="D2079" s="24"/>
      <c r="E2079" s="11"/>
      <c r="F2079" s="24"/>
      <c r="G2079" s="11"/>
      <c r="H2079" s="11"/>
    </row>
    <row r="2080" spans="1:8" ht="12.75" hidden="1">
      <c r="A2080" s="11"/>
      <c r="B2080" s="11"/>
      <c r="C2080" s="11"/>
      <c r="D2080" s="24"/>
      <c r="E2080" s="11"/>
      <c r="F2080" s="24"/>
      <c r="G2080" s="11"/>
      <c r="H2080" s="11"/>
    </row>
    <row r="2081" spans="1:8" ht="12.75" hidden="1">
      <c r="A2081" s="11"/>
      <c r="B2081" s="11"/>
      <c r="C2081" s="11"/>
      <c r="D2081" s="24"/>
      <c r="E2081" s="11"/>
      <c r="F2081" s="24"/>
      <c r="G2081" s="11"/>
      <c r="H2081" s="11"/>
    </row>
    <row r="2082" spans="1:8" ht="12.75" hidden="1">
      <c r="A2082" s="11"/>
      <c r="B2082" s="11"/>
      <c r="C2082" s="11"/>
      <c r="D2082" s="24"/>
      <c r="E2082" s="11"/>
      <c r="F2082" s="24"/>
      <c r="G2082" s="11"/>
      <c r="H2082" s="11"/>
    </row>
    <row r="2083" spans="1:8" ht="12.75" hidden="1">
      <c r="A2083" s="11"/>
      <c r="B2083" s="11"/>
      <c r="C2083" s="11"/>
      <c r="D2083" s="24"/>
      <c r="E2083" s="11"/>
      <c r="F2083" s="24"/>
      <c r="G2083" s="11"/>
      <c r="H2083" s="11"/>
    </row>
    <row r="2084" spans="1:8" ht="12.75" hidden="1">
      <c r="A2084" s="11"/>
      <c r="B2084" s="11"/>
      <c r="C2084" s="11"/>
      <c r="D2084" s="24"/>
      <c r="E2084" s="11"/>
      <c r="F2084" s="24"/>
      <c r="G2084" s="11"/>
      <c r="H2084" s="11"/>
    </row>
    <row r="2085" spans="1:8" ht="12.75" hidden="1">
      <c r="A2085" s="11"/>
      <c r="B2085" s="11"/>
      <c r="C2085" s="11"/>
      <c r="D2085" s="24"/>
      <c r="E2085" s="11"/>
      <c r="F2085" s="24"/>
      <c r="G2085" s="11"/>
      <c r="H2085" s="11"/>
    </row>
    <row r="2086" spans="1:8" ht="12.75" hidden="1">
      <c r="A2086" s="11"/>
      <c r="B2086" s="11"/>
      <c r="C2086" s="11"/>
      <c r="D2086" s="24"/>
      <c r="E2086" s="11"/>
      <c r="F2086" s="24"/>
      <c r="G2086" s="11"/>
      <c r="H2086" s="11"/>
    </row>
    <row r="2087" spans="1:8" ht="12.75" hidden="1">
      <c r="A2087" s="11"/>
      <c r="B2087" s="11"/>
      <c r="C2087" s="11"/>
      <c r="D2087" s="24"/>
      <c r="E2087" s="11"/>
      <c r="F2087" s="24"/>
      <c r="G2087" s="11"/>
      <c r="H2087" s="11"/>
    </row>
    <row r="2088" spans="1:8" ht="12.75" hidden="1">
      <c r="A2088" s="11"/>
      <c r="B2088" s="11"/>
      <c r="C2088" s="11"/>
      <c r="D2088" s="24"/>
      <c r="E2088" s="11"/>
      <c r="F2088" s="24"/>
      <c r="G2088" s="11"/>
      <c r="H2088" s="11"/>
    </row>
    <row r="2089" spans="1:8" ht="12.75" hidden="1">
      <c r="A2089" s="11"/>
      <c r="B2089" s="11"/>
      <c r="C2089" s="11"/>
      <c r="D2089" s="24"/>
      <c r="E2089" s="11"/>
      <c r="F2089" s="24"/>
      <c r="G2089" s="11"/>
      <c r="H2089" s="11"/>
    </row>
    <row r="2090" spans="1:8" ht="12.75" hidden="1">
      <c r="A2090" s="11"/>
      <c r="B2090" s="11"/>
      <c r="C2090" s="11"/>
      <c r="D2090" s="24"/>
      <c r="E2090" s="11"/>
      <c r="F2090" s="24"/>
      <c r="G2090" s="11"/>
      <c r="H2090" s="11"/>
    </row>
    <row r="2091" spans="1:8" ht="12.75" hidden="1">
      <c r="A2091" s="11"/>
      <c r="B2091" s="11"/>
      <c r="C2091" s="11"/>
      <c r="D2091" s="24"/>
      <c r="E2091" s="11"/>
      <c r="F2091" s="24"/>
      <c r="G2091" s="11"/>
      <c r="H2091" s="11"/>
    </row>
    <row r="2092" spans="1:8" ht="12.75" hidden="1">
      <c r="A2092" s="11"/>
      <c r="B2092" s="11"/>
      <c r="C2092" s="11"/>
      <c r="D2092" s="24"/>
      <c r="E2092" s="11"/>
      <c r="F2092" s="24"/>
      <c r="G2092" s="11"/>
      <c r="H2092" s="11"/>
    </row>
    <row r="2093" spans="1:8" ht="12.75" hidden="1">
      <c r="A2093" s="11"/>
      <c r="B2093" s="11"/>
      <c r="C2093" s="11"/>
      <c r="D2093" s="24"/>
      <c r="E2093" s="11"/>
      <c r="F2093" s="24"/>
      <c r="G2093" s="11"/>
      <c r="H2093" s="11"/>
    </row>
    <row r="2094" spans="1:8" ht="12.75" hidden="1">
      <c r="A2094" s="11"/>
      <c r="B2094" s="11"/>
      <c r="C2094" s="11"/>
      <c r="D2094" s="24"/>
      <c r="E2094" s="11"/>
      <c r="F2094" s="24"/>
      <c r="G2094" s="11"/>
      <c r="H2094" s="11"/>
    </row>
    <row r="2095" spans="1:8" ht="12.75" hidden="1">
      <c r="A2095" s="11"/>
      <c r="B2095" s="11"/>
      <c r="C2095" s="11"/>
      <c r="D2095" s="24"/>
      <c r="E2095" s="11"/>
      <c r="F2095" s="24"/>
      <c r="G2095" s="11"/>
      <c r="H2095" s="11"/>
    </row>
    <row r="2096" spans="1:8" ht="12.75" hidden="1">
      <c r="A2096" s="11"/>
      <c r="B2096" s="11"/>
      <c r="C2096" s="11"/>
      <c r="D2096" s="24"/>
      <c r="E2096" s="11"/>
      <c r="F2096" s="24"/>
      <c r="G2096" s="11"/>
      <c r="H2096" s="11"/>
    </row>
    <row r="2097" spans="1:8" ht="12.75" hidden="1">
      <c r="A2097" s="11"/>
      <c r="B2097" s="11"/>
      <c r="C2097" s="11"/>
      <c r="D2097" s="24"/>
      <c r="E2097" s="11"/>
      <c r="F2097" s="24"/>
      <c r="G2097" s="11"/>
      <c r="H2097" s="11"/>
    </row>
    <row r="2098" spans="1:8" ht="12.75" hidden="1">
      <c r="A2098" s="11"/>
      <c r="B2098" s="11"/>
      <c r="C2098" s="11"/>
      <c r="D2098" s="24"/>
      <c r="E2098" s="11"/>
      <c r="F2098" s="24"/>
      <c r="G2098" s="11"/>
      <c r="H2098" s="11"/>
    </row>
    <row r="2099" spans="1:8" ht="12.75" hidden="1">
      <c r="A2099" s="11"/>
      <c r="B2099" s="11"/>
      <c r="C2099" s="11"/>
      <c r="D2099" s="24"/>
      <c r="E2099" s="11"/>
      <c r="F2099" s="24"/>
      <c r="G2099" s="11"/>
      <c r="H2099" s="11"/>
    </row>
    <row r="2100" spans="1:8" ht="12.75" hidden="1">
      <c r="A2100" s="11"/>
      <c r="B2100" s="11"/>
      <c r="C2100" s="11"/>
      <c r="D2100" s="24"/>
      <c r="E2100" s="11"/>
      <c r="F2100" s="24"/>
      <c r="G2100" s="11"/>
      <c r="H2100" s="11"/>
    </row>
    <row r="2101" spans="1:8" ht="12.75" hidden="1">
      <c r="A2101" s="11"/>
      <c r="B2101" s="11"/>
      <c r="C2101" s="11"/>
      <c r="D2101" s="24"/>
      <c r="E2101" s="11"/>
      <c r="F2101" s="24"/>
      <c r="G2101" s="11"/>
      <c r="H2101" s="11"/>
    </row>
    <row r="2102" spans="1:8" ht="12.75" hidden="1">
      <c r="A2102" s="11"/>
      <c r="B2102" s="11"/>
      <c r="C2102" s="11"/>
      <c r="D2102" s="24"/>
      <c r="E2102" s="11"/>
      <c r="F2102" s="24"/>
      <c r="G2102" s="11"/>
      <c r="H2102" s="11"/>
    </row>
    <row r="2103" spans="1:8" ht="12.75" hidden="1">
      <c r="A2103" s="11"/>
      <c r="B2103" s="11"/>
      <c r="C2103" s="11"/>
      <c r="D2103" s="24"/>
      <c r="E2103" s="11"/>
      <c r="F2103" s="24"/>
      <c r="G2103" s="11"/>
      <c r="H2103" s="11"/>
    </row>
    <row r="2104" spans="1:8" ht="12.75" hidden="1">
      <c r="A2104" s="11"/>
      <c r="B2104" s="11"/>
      <c r="C2104" s="11"/>
      <c r="D2104" s="24"/>
      <c r="E2104" s="11"/>
      <c r="F2104" s="24"/>
      <c r="G2104" s="11"/>
      <c r="H2104" s="11"/>
    </row>
    <row r="2105" spans="1:8" ht="12.75" hidden="1">
      <c r="A2105" s="11"/>
      <c r="B2105" s="11"/>
      <c r="C2105" s="11"/>
      <c r="D2105" s="24"/>
      <c r="E2105" s="11"/>
      <c r="F2105" s="24"/>
      <c r="G2105" s="11"/>
      <c r="H2105" s="11"/>
    </row>
    <row r="2106" spans="1:8" ht="12.75" hidden="1">
      <c r="A2106" s="11"/>
      <c r="B2106" s="11"/>
      <c r="C2106" s="11"/>
      <c r="D2106" s="24"/>
      <c r="E2106" s="11"/>
      <c r="F2106" s="24"/>
      <c r="G2106" s="11"/>
      <c r="H2106" s="11"/>
    </row>
    <row r="2107" spans="1:8" ht="12.75" hidden="1">
      <c r="A2107" s="11"/>
      <c r="B2107" s="11"/>
      <c r="C2107" s="11"/>
      <c r="D2107" s="24"/>
      <c r="E2107" s="11"/>
      <c r="F2107" s="24"/>
      <c r="G2107" s="11"/>
      <c r="H2107" s="11"/>
    </row>
    <row r="2108" spans="1:8" ht="12.75" hidden="1">
      <c r="A2108" s="11"/>
      <c r="B2108" s="11"/>
      <c r="C2108" s="11"/>
      <c r="D2108" s="24"/>
      <c r="E2108" s="11"/>
      <c r="F2108" s="24"/>
      <c r="G2108" s="11"/>
      <c r="H2108" s="11"/>
    </row>
    <row r="2109" spans="1:8" ht="12.75" hidden="1">
      <c r="A2109" s="11"/>
      <c r="B2109" s="11"/>
      <c r="C2109" s="11"/>
      <c r="D2109" s="24"/>
      <c r="E2109" s="11"/>
      <c r="F2109" s="24"/>
      <c r="G2109" s="11"/>
      <c r="H2109" s="11"/>
    </row>
    <row r="2110" spans="1:8" ht="12.75" hidden="1">
      <c r="A2110" s="11"/>
      <c r="B2110" s="11"/>
      <c r="C2110" s="11"/>
      <c r="D2110" s="24"/>
      <c r="E2110" s="11"/>
      <c r="F2110" s="24"/>
      <c r="G2110" s="11"/>
      <c r="H2110" s="11"/>
    </row>
    <row r="2111" spans="1:8" ht="12.75" hidden="1">
      <c r="A2111" s="11"/>
      <c r="B2111" s="11"/>
      <c r="C2111" s="11"/>
      <c r="D2111" s="24"/>
      <c r="E2111" s="11"/>
      <c r="F2111" s="24"/>
      <c r="G2111" s="11"/>
      <c r="H2111" s="11"/>
    </row>
    <row r="2112" spans="1:8" ht="12.75" hidden="1">
      <c r="A2112" s="11"/>
      <c r="B2112" s="11"/>
      <c r="C2112" s="11"/>
      <c r="D2112" s="24"/>
      <c r="E2112" s="11"/>
      <c r="F2112" s="24"/>
      <c r="G2112" s="11"/>
      <c r="H2112" s="11"/>
    </row>
    <row r="2113" spans="1:8" ht="12.75" hidden="1">
      <c r="A2113" s="11"/>
      <c r="B2113" s="11"/>
      <c r="C2113" s="11"/>
      <c r="D2113" s="24"/>
      <c r="E2113" s="11"/>
      <c r="F2113" s="24"/>
      <c r="G2113" s="11"/>
      <c r="H2113" s="11"/>
    </row>
    <row r="2114" spans="1:8" ht="12.75" hidden="1">
      <c r="A2114" s="11"/>
      <c r="B2114" s="11"/>
      <c r="C2114" s="11"/>
      <c r="D2114" s="24"/>
      <c r="E2114" s="11"/>
      <c r="F2114" s="24"/>
      <c r="G2114" s="11"/>
      <c r="H2114" s="11"/>
    </row>
    <row r="2115" spans="1:8" ht="12.75" hidden="1">
      <c r="A2115" s="11"/>
      <c r="B2115" s="11"/>
      <c r="C2115" s="11"/>
      <c r="D2115" s="24"/>
      <c r="E2115" s="11"/>
      <c r="F2115" s="24"/>
      <c r="G2115" s="11"/>
      <c r="H2115" s="11"/>
    </row>
    <row r="2116" spans="1:8" ht="12.75" hidden="1">
      <c r="A2116" s="11"/>
      <c r="B2116" s="11"/>
      <c r="C2116" s="11"/>
      <c r="D2116" s="24"/>
      <c r="E2116" s="11"/>
      <c r="F2116" s="24"/>
      <c r="G2116" s="11"/>
      <c r="H2116" s="11"/>
    </row>
    <row r="2117" spans="1:8" ht="12.75" hidden="1">
      <c r="A2117" s="11"/>
      <c r="B2117" s="11"/>
      <c r="C2117" s="11"/>
      <c r="D2117" s="24"/>
      <c r="E2117" s="11"/>
      <c r="F2117" s="24"/>
      <c r="G2117" s="11"/>
      <c r="H2117" s="11"/>
    </row>
    <row r="2118" spans="1:8" ht="12.75" hidden="1">
      <c r="A2118" s="11"/>
      <c r="B2118" s="11"/>
      <c r="C2118" s="11"/>
      <c r="D2118" s="24"/>
      <c r="E2118" s="11"/>
      <c r="F2118" s="24"/>
      <c r="G2118" s="11"/>
      <c r="H2118" s="11"/>
    </row>
    <row r="2119" spans="1:8" ht="12.75" hidden="1">
      <c r="A2119" s="11"/>
      <c r="B2119" s="11"/>
      <c r="C2119" s="11"/>
      <c r="D2119" s="24"/>
      <c r="E2119" s="11"/>
      <c r="F2119" s="24"/>
      <c r="G2119" s="11"/>
      <c r="H2119" s="11"/>
    </row>
    <row r="2120" spans="1:8" ht="12.75" hidden="1">
      <c r="A2120" s="11"/>
      <c r="B2120" s="11"/>
      <c r="C2120" s="11"/>
      <c r="D2120" s="24"/>
      <c r="E2120" s="11"/>
      <c r="F2120" s="24"/>
      <c r="G2120" s="11"/>
      <c r="H2120" s="11"/>
    </row>
    <row r="2121" spans="1:8" ht="12.75" hidden="1">
      <c r="A2121" s="11"/>
      <c r="B2121" s="11"/>
      <c r="C2121" s="11"/>
      <c r="D2121" s="24"/>
      <c r="E2121" s="11"/>
      <c r="F2121" s="24"/>
      <c r="G2121" s="11"/>
      <c r="H2121" s="11"/>
    </row>
    <row r="2122" spans="1:8" ht="12.75" hidden="1">
      <c r="A2122" s="11"/>
      <c r="B2122" s="11"/>
      <c r="C2122" s="11"/>
      <c r="D2122" s="24"/>
      <c r="E2122" s="11"/>
      <c r="F2122" s="24"/>
      <c r="G2122" s="11"/>
      <c r="H2122" s="11"/>
    </row>
    <row r="2123" spans="1:8" ht="12.75" hidden="1">
      <c r="A2123" s="11"/>
      <c r="B2123" s="11"/>
      <c r="C2123" s="11"/>
      <c r="D2123" s="24"/>
      <c r="E2123" s="11"/>
      <c r="F2123" s="24"/>
      <c r="G2123" s="11"/>
      <c r="H2123" s="11"/>
    </row>
    <row r="2124" spans="1:8" ht="12.75" hidden="1">
      <c r="A2124" s="11"/>
      <c r="B2124" s="11"/>
      <c r="C2124" s="11"/>
      <c r="D2124" s="24"/>
      <c r="E2124" s="11"/>
      <c r="F2124" s="24"/>
      <c r="G2124" s="11"/>
      <c r="H2124" s="11"/>
    </row>
    <row r="2125" spans="1:8" ht="12.75" hidden="1">
      <c r="A2125" s="11"/>
      <c r="B2125" s="11"/>
      <c r="C2125" s="11"/>
      <c r="D2125" s="24"/>
      <c r="E2125" s="11"/>
      <c r="F2125" s="24"/>
      <c r="G2125" s="11"/>
      <c r="H2125" s="11"/>
    </row>
    <row r="2126" spans="1:8" ht="12.75" hidden="1">
      <c r="A2126" s="11"/>
      <c r="B2126" s="11"/>
      <c r="C2126" s="11"/>
      <c r="D2126" s="24"/>
      <c r="E2126" s="11"/>
      <c r="F2126" s="24"/>
      <c r="G2126" s="11"/>
      <c r="H2126" s="11"/>
    </row>
    <row r="2127" spans="1:8" ht="12.75" hidden="1">
      <c r="A2127" s="11"/>
      <c r="B2127" s="11"/>
      <c r="C2127" s="11"/>
      <c r="D2127" s="24"/>
      <c r="E2127" s="11"/>
      <c r="F2127" s="24"/>
      <c r="G2127" s="11"/>
      <c r="H2127" s="11"/>
    </row>
    <row r="2128" spans="1:8" ht="12.75" hidden="1">
      <c r="A2128" s="11"/>
      <c r="B2128" s="11"/>
      <c r="C2128" s="11"/>
      <c r="D2128" s="24"/>
      <c r="E2128" s="11"/>
      <c r="F2128" s="24"/>
      <c r="G2128" s="11"/>
      <c r="H2128" s="11"/>
    </row>
    <row r="2129" spans="1:8" ht="12.75" hidden="1">
      <c r="A2129" s="11"/>
      <c r="B2129" s="11"/>
      <c r="C2129" s="11"/>
      <c r="D2129" s="24"/>
      <c r="E2129" s="11"/>
      <c r="F2129" s="24"/>
      <c r="G2129" s="11"/>
      <c r="H2129" s="11"/>
    </row>
    <row r="2130" spans="1:8" ht="12.75" hidden="1">
      <c r="A2130" s="11"/>
      <c r="B2130" s="11"/>
      <c r="C2130" s="11"/>
      <c r="D2130" s="24"/>
      <c r="E2130" s="11"/>
      <c r="F2130" s="24"/>
      <c r="G2130" s="11"/>
      <c r="H2130" s="11"/>
    </row>
    <row r="2131" spans="1:8" ht="12.75" hidden="1">
      <c r="A2131" s="11"/>
      <c r="B2131" s="11"/>
      <c r="C2131" s="11"/>
      <c r="D2131" s="24"/>
      <c r="E2131" s="11"/>
      <c r="F2131" s="24"/>
      <c r="G2131" s="11"/>
      <c r="H2131" s="11"/>
    </row>
    <row r="2132" spans="1:8" ht="12.75" hidden="1">
      <c r="A2132" s="11"/>
      <c r="B2132" s="11"/>
      <c r="C2132" s="11"/>
      <c r="D2132" s="24"/>
      <c r="E2132" s="11"/>
      <c r="F2132" s="24"/>
      <c r="G2132" s="11"/>
      <c r="H2132" s="11"/>
    </row>
    <row r="2133" spans="1:8" ht="12.75" hidden="1">
      <c r="A2133" s="11"/>
      <c r="B2133" s="11"/>
      <c r="C2133" s="11"/>
      <c r="D2133" s="24"/>
      <c r="E2133" s="11"/>
      <c r="F2133" s="24"/>
      <c r="G2133" s="11"/>
      <c r="H2133" s="11"/>
    </row>
    <row r="2134" spans="1:8" ht="12.75" hidden="1">
      <c r="A2134" s="11"/>
      <c r="B2134" s="11"/>
      <c r="C2134" s="11"/>
      <c r="D2134" s="24"/>
      <c r="E2134" s="11"/>
      <c r="F2134" s="24"/>
      <c r="G2134" s="11"/>
      <c r="H2134" s="11"/>
    </row>
    <row r="2135" spans="1:8" ht="12.75" hidden="1">
      <c r="A2135" s="11"/>
      <c r="B2135" s="11"/>
      <c r="C2135" s="11"/>
      <c r="D2135" s="24"/>
      <c r="E2135" s="11"/>
      <c r="F2135" s="24"/>
      <c r="G2135" s="11"/>
      <c r="H2135" s="11"/>
    </row>
    <row r="2136" spans="1:8" ht="12.75" hidden="1">
      <c r="A2136" s="11"/>
      <c r="B2136" s="11"/>
      <c r="C2136" s="11"/>
      <c r="D2136" s="24"/>
      <c r="E2136" s="11"/>
      <c r="F2136" s="24"/>
      <c r="G2136" s="11"/>
      <c r="H2136" s="11"/>
    </row>
    <row r="2137" spans="1:8" ht="12.75" hidden="1">
      <c r="A2137" s="11"/>
      <c r="B2137" s="11"/>
      <c r="C2137" s="11"/>
      <c r="D2137" s="24"/>
      <c r="E2137" s="11"/>
      <c r="F2137" s="24"/>
      <c r="G2137" s="11"/>
      <c r="H2137" s="11"/>
    </row>
    <row r="2138" spans="1:8" ht="12.75" hidden="1">
      <c r="A2138" s="11"/>
      <c r="B2138" s="11"/>
      <c r="C2138" s="11"/>
      <c r="D2138" s="24"/>
      <c r="E2138" s="11"/>
      <c r="F2138" s="24"/>
      <c r="G2138" s="11"/>
      <c r="H2138" s="11"/>
    </row>
    <row r="2139" spans="1:8" ht="12.75" hidden="1">
      <c r="A2139" s="11"/>
      <c r="B2139" s="11"/>
      <c r="C2139" s="11"/>
      <c r="D2139" s="24"/>
      <c r="E2139" s="11"/>
      <c r="F2139" s="24"/>
      <c r="G2139" s="11"/>
      <c r="H2139" s="11"/>
    </row>
    <row r="2140" spans="1:8" ht="12.75" hidden="1">
      <c r="A2140" s="11"/>
      <c r="B2140" s="11"/>
      <c r="C2140" s="11"/>
      <c r="D2140" s="24"/>
      <c r="E2140" s="11"/>
      <c r="F2140" s="24"/>
      <c r="G2140" s="11"/>
      <c r="H2140" s="11"/>
    </row>
    <row r="2141" spans="1:8" ht="12.75" hidden="1">
      <c r="A2141" s="11"/>
      <c r="B2141" s="11"/>
      <c r="C2141" s="11"/>
      <c r="D2141" s="24"/>
      <c r="E2141" s="11"/>
      <c r="F2141" s="24"/>
      <c r="G2141" s="11"/>
      <c r="H2141" s="11"/>
    </row>
    <row r="2142" spans="1:8" ht="12.75" hidden="1">
      <c r="A2142" s="11"/>
      <c r="B2142" s="11"/>
      <c r="C2142" s="11"/>
      <c r="D2142" s="24"/>
      <c r="E2142" s="11"/>
      <c r="F2142" s="24"/>
      <c r="G2142" s="11"/>
      <c r="H2142" s="11"/>
    </row>
    <row r="2143" spans="1:8" ht="12.75" hidden="1">
      <c r="A2143" s="11"/>
      <c r="B2143" s="11"/>
      <c r="C2143" s="11"/>
      <c r="D2143" s="24"/>
      <c r="E2143" s="11"/>
      <c r="F2143" s="24"/>
      <c r="G2143" s="11"/>
      <c r="H2143" s="11"/>
    </row>
    <row r="2144" spans="1:8" ht="12.75" hidden="1">
      <c r="A2144" s="11"/>
      <c r="B2144" s="11"/>
      <c r="C2144" s="11"/>
      <c r="D2144" s="24"/>
      <c r="E2144" s="11"/>
      <c r="F2144" s="24"/>
      <c r="G2144" s="11"/>
      <c r="H2144" s="11"/>
    </row>
    <row r="2145" spans="1:8" ht="12.75" hidden="1">
      <c r="A2145" s="11"/>
      <c r="B2145" s="11"/>
      <c r="C2145" s="11"/>
      <c r="D2145" s="24"/>
      <c r="E2145" s="11"/>
      <c r="F2145" s="24"/>
      <c r="G2145" s="11"/>
      <c r="H2145" s="11"/>
    </row>
    <row r="2146" spans="1:8" ht="12.75" hidden="1">
      <c r="A2146" s="11"/>
      <c r="B2146" s="11"/>
      <c r="C2146" s="11"/>
      <c r="D2146" s="24"/>
      <c r="E2146" s="11"/>
      <c r="F2146" s="24"/>
      <c r="G2146" s="11"/>
      <c r="H2146" s="11"/>
    </row>
    <row r="2147" spans="1:8" ht="12.75" hidden="1">
      <c r="A2147" s="11"/>
      <c r="B2147" s="11"/>
      <c r="C2147" s="11"/>
      <c r="D2147" s="24"/>
      <c r="E2147" s="11"/>
      <c r="F2147" s="24"/>
      <c r="G2147" s="11"/>
      <c r="H2147" s="11"/>
    </row>
    <row r="2148" spans="1:8" ht="12.75" hidden="1">
      <c r="A2148" s="11"/>
      <c r="B2148" s="11"/>
      <c r="C2148" s="11"/>
      <c r="D2148" s="24"/>
      <c r="E2148" s="11"/>
      <c r="F2148" s="24"/>
      <c r="G2148" s="11"/>
      <c r="H2148" s="11"/>
    </row>
    <row r="2149" spans="1:8" ht="12.75" hidden="1">
      <c r="A2149" s="11"/>
      <c r="B2149" s="11"/>
      <c r="C2149" s="11"/>
      <c r="D2149" s="24"/>
      <c r="E2149" s="11"/>
      <c r="F2149" s="24"/>
      <c r="G2149" s="11"/>
      <c r="H2149" s="11"/>
    </row>
    <row r="2150" spans="1:8" ht="12.75" hidden="1">
      <c r="A2150" s="11"/>
      <c r="B2150" s="11"/>
      <c r="C2150" s="11"/>
      <c r="D2150" s="24"/>
      <c r="E2150" s="11"/>
      <c r="F2150" s="24"/>
      <c r="G2150" s="11"/>
      <c r="H2150" s="11"/>
    </row>
    <row r="2151" spans="1:8" ht="12.75" hidden="1">
      <c r="A2151" s="11"/>
      <c r="B2151" s="11"/>
      <c r="C2151" s="11"/>
      <c r="D2151" s="24"/>
      <c r="E2151" s="11"/>
      <c r="F2151" s="24"/>
      <c r="G2151" s="11"/>
      <c r="H2151" s="11"/>
    </row>
    <row r="2152" spans="1:8" ht="12.75" hidden="1">
      <c r="A2152" s="11"/>
      <c r="B2152" s="11"/>
      <c r="C2152" s="11"/>
      <c r="D2152" s="24"/>
      <c r="E2152" s="11"/>
      <c r="F2152" s="24"/>
      <c r="G2152" s="11"/>
      <c r="H2152" s="11"/>
    </row>
    <row r="2153" spans="1:8" ht="12.75" hidden="1">
      <c r="A2153" s="11"/>
      <c r="B2153" s="11"/>
      <c r="C2153" s="11"/>
      <c r="D2153" s="24"/>
      <c r="E2153" s="11"/>
      <c r="F2153" s="24"/>
      <c r="G2153" s="11"/>
      <c r="H2153" s="11"/>
    </row>
    <row r="2154" spans="1:8" ht="12.75" hidden="1">
      <c r="A2154" s="11"/>
      <c r="B2154" s="11"/>
      <c r="C2154" s="11"/>
      <c r="D2154" s="24"/>
      <c r="E2154" s="11"/>
      <c r="F2154" s="24"/>
      <c r="G2154" s="11"/>
      <c r="H2154" s="11"/>
    </row>
    <row r="2155" spans="1:8" ht="12.75" hidden="1">
      <c r="A2155" s="11"/>
      <c r="B2155" s="11"/>
      <c r="C2155" s="11"/>
      <c r="D2155" s="24"/>
      <c r="E2155" s="11"/>
      <c r="F2155" s="24"/>
      <c r="G2155" s="11"/>
      <c r="H2155" s="11"/>
    </row>
    <row r="2156" spans="1:8" ht="12.75" hidden="1">
      <c r="A2156" s="11"/>
      <c r="B2156" s="11"/>
      <c r="C2156" s="11"/>
      <c r="D2156" s="24"/>
      <c r="E2156" s="11"/>
      <c r="F2156" s="24"/>
      <c r="G2156" s="11"/>
      <c r="H2156" s="11"/>
    </row>
    <row r="2157" spans="1:8" ht="12.75" hidden="1">
      <c r="A2157" s="11"/>
      <c r="B2157" s="11"/>
      <c r="C2157" s="11"/>
      <c r="D2157" s="24"/>
      <c r="E2157" s="11"/>
      <c r="F2157" s="24"/>
      <c r="G2157" s="11"/>
      <c r="H2157" s="11"/>
    </row>
    <row r="2158" spans="1:8" ht="12.75" hidden="1">
      <c r="A2158" s="11"/>
      <c r="B2158" s="11"/>
      <c r="C2158" s="11"/>
      <c r="D2158" s="24"/>
      <c r="E2158" s="11"/>
      <c r="F2158" s="24"/>
      <c r="G2158" s="11"/>
      <c r="H2158" s="11"/>
    </row>
    <row r="2159" spans="1:8" ht="12.75" hidden="1">
      <c r="A2159" s="11"/>
      <c r="B2159" s="11"/>
      <c r="C2159" s="11"/>
      <c r="D2159" s="24"/>
      <c r="E2159" s="11"/>
      <c r="F2159" s="24"/>
      <c r="G2159" s="11"/>
      <c r="H2159" s="11"/>
    </row>
    <row r="2160" spans="1:8" ht="12.75" hidden="1">
      <c r="A2160" s="11"/>
      <c r="B2160" s="11"/>
      <c r="C2160" s="11"/>
      <c r="D2160" s="24"/>
      <c r="E2160" s="11"/>
      <c r="F2160" s="24"/>
      <c r="G2160" s="11"/>
      <c r="H2160" s="11"/>
    </row>
    <row r="2161" spans="1:8" ht="12.75" hidden="1">
      <c r="A2161" s="11"/>
      <c r="B2161" s="11"/>
      <c r="C2161" s="11"/>
      <c r="D2161" s="24"/>
      <c r="E2161" s="11"/>
      <c r="F2161" s="24"/>
      <c r="G2161" s="11"/>
      <c r="H2161" s="11"/>
    </row>
    <row r="2162" spans="1:8" ht="12.75" hidden="1">
      <c r="A2162" s="11"/>
      <c r="B2162" s="11"/>
      <c r="C2162" s="11"/>
      <c r="D2162" s="24"/>
      <c r="E2162" s="11"/>
      <c r="F2162" s="24"/>
      <c r="G2162" s="11"/>
      <c r="H2162" s="11"/>
    </row>
    <row r="2163" spans="1:8" ht="12.75" hidden="1">
      <c r="A2163" s="11"/>
      <c r="B2163" s="11"/>
      <c r="C2163" s="11"/>
      <c r="D2163" s="24"/>
      <c r="E2163" s="11"/>
      <c r="F2163" s="24"/>
      <c r="G2163" s="11"/>
      <c r="H2163" s="11"/>
    </row>
    <row r="2164" spans="1:8" ht="12.75" hidden="1">
      <c r="A2164" s="11"/>
      <c r="B2164" s="11"/>
      <c r="C2164" s="11"/>
      <c r="D2164" s="24"/>
      <c r="E2164" s="11"/>
      <c r="F2164" s="24"/>
      <c r="G2164" s="11"/>
      <c r="H2164" s="11"/>
    </row>
    <row r="2165" spans="1:8" ht="12.75" hidden="1">
      <c r="A2165" s="11"/>
      <c r="B2165" s="11"/>
      <c r="C2165" s="11"/>
      <c r="D2165" s="24"/>
      <c r="E2165" s="11"/>
      <c r="F2165" s="24"/>
      <c r="G2165" s="11"/>
      <c r="H2165" s="11"/>
    </row>
    <row r="2166" spans="1:8" ht="12.75" hidden="1">
      <c r="A2166" s="11"/>
      <c r="B2166" s="11"/>
      <c r="C2166" s="11"/>
      <c r="D2166" s="24"/>
      <c r="E2166" s="11"/>
      <c r="F2166" s="24"/>
      <c r="G2166" s="11"/>
      <c r="H2166" s="11"/>
    </row>
    <row r="2167" spans="1:8" ht="12.75" hidden="1">
      <c r="A2167" s="11"/>
      <c r="B2167" s="11"/>
      <c r="C2167" s="11"/>
      <c r="D2167" s="24"/>
      <c r="E2167" s="11"/>
      <c r="F2167" s="24"/>
      <c r="G2167" s="11"/>
      <c r="H2167" s="11"/>
    </row>
    <row r="2168" spans="1:8" ht="12.75" hidden="1">
      <c r="A2168" s="11"/>
      <c r="B2168" s="11"/>
      <c r="C2168" s="11"/>
      <c r="D2168" s="24"/>
      <c r="E2168" s="11"/>
      <c r="F2168" s="24"/>
      <c r="G2168" s="11"/>
      <c r="H2168" s="11"/>
    </row>
    <row r="2169" spans="1:8" ht="12.75" hidden="1">
      <c r="A2169" s="11"/>
      <c r="B2169" s="11"/>
      <c r="C2169" s="11"/>
      <c r="D2169" s="24"/>
      <c r="E2169" s="11"/>
      <c r="F2169" s="24"/>
      <c r="G2169" s="11"/>
      <c r="H2169" s="11"/>
    </row>
    <row r="2170" spans="1:8" ht="12.75" hidden="1">
      <c r="A2170" s="11"/>
      <c r="B2170" s="11"/>
      <c r="C2170" s="11"/>
      <c r="D2170" s="24"/>
      <c r="E2170" s="11"/>
      <c r="F2170" s="24"/>
      <c r="G2170" s="11"/>
      <c r="H2170" s="11"/>
    </row>
    <row r="2171" spans="1:8" ht="12.75" hidden="1">
      <c r="A2171" s="11"/>
      <c r="B2171" s="11"/>
      <c r="C2171" s="11"/>
      <c r="D2171" s="24"/>
      <c r="E2171" s="11"/>
      <c r="F2171" s="24"/>
      <c r="G2171" s="11"/>
      <c r="H2171" s="11"/>
    </row>
    <row r="2172" spans="1:8" ht="12.75" hidden="1">
      <c r="A2172" s="11"/>
      <c r="B2172" s="11"/>
      <c r="C2172" s="11"/>
      <c r="D2172" s="24"/>
      <c r="E2172" s="11"/>
      <c r="F2172" s="24"/>
      <c r="G2172" s="11"/>
      <c r="H2172" s="11"/>
    </row>
    <row r="2173" spans="1:8" ht="12.75" hidden="1">
      <c r="A2173" s="11"/>
      <c r="B2173" s="11"/>
      <c r="C2173" s="11"/>
      <c r="D2173" s="24"/>
      <c r="E2173" s="11"/>
      <c r="F2173" s="24"/>
      <c r="G2173" s="11"/>
      <c r="H2173" s="11"/>
    </row>
    <row r="2174" spans="1:8" ht="12.75" hidden="1">
      <c r="A2174" s="11"/>
      <c r="B2174" s="11"/>
      <c r="C2174" s="11"/>
      <c r="D2174" s="24"/>
      <c r="E2174" s="11"/>
      <c r="F2174" s="24"/>
      <c r="G2174" s="11"/>
      <c r="H2174" s="11"/>
    </row>
    <row r="2175" spans="1:8" ht="12.75" hidden="1">
      <c r="A2175" s="11"/>
      <c r="B2175" s="11"/>
      <c r="C2175" s="11"/>
      <c r="D2175" s="24"/>
      <c r="E2175" s="11"/>
      <c r="F2175" s="24"/>
      <c r="G2175" s="11"/>
      <c r="H2175" s="11"/>
    </row>
    <row r="2176" spans="1:8" ht="12.75" hidden="1">
      <c r="A2176" s="11"/>
      <c r="B2176" s="11"/>
      <c r="C2176" s="11"/>
      <c r="D2176" s="24"/>
      <c r="E2176" s="11"/>
      <c r="F2176" s="24"/>
      <c r="G2176" s="11"/>
      <c r="H2176" s="11"/>
    </row>
    <row r="2177" spans="1:8" ht="12.75" hidden="1">
      <c r="A2177" s="11"/>
      <c r="B2177" s="11"/>
      <c r="C2177" s="11"/>
      <c r="D2177" s="24"/>
      <c r="E2177" s="11"/>
      <c r="F2177" s="24"/>
      <c r="G2177" s="11"/>
      <c r="H2177" s="11"/>
    </row>
    <row r="2178" spans="1:8" ht="12.75" hidden="1">
      <c r="A2178" s="11"/>
      <c r="B2178" s="11"/>
      <c r="C2178" s="11"/>
      <c r="D2178" s="24"/>
      <c r="E2178" s="11"/>
      <c r="F2178" s="24"/>
      <c r="G2178" s="11"/>
      <c r="H2178" s="11"/>
    </row>
    <row r="2179" spans="1:8" ht="12.75" hidden="1">
      <c r="A2179" s="11"/>
      <c r="B2179" s="11"/>
      <c r="C2179" s="11"/>
      <c r="D2179" s="24"/>
      <c r="E2179" s="11"/>
      <c r="F2179" s="24"/>
      <c r="G2179" s="11"/>
      <c r="H2179" s="11"/>
    </row>
    <row r="2180" spans="1:8" ht="12.75" hidden="1">
      <c r="A2180" s="11"/>
      <c r="B2180" s="11"/>
      <c r="C2180" s="11"/>
      <c r="D2180" s="24"/>
      <c r="E2180" s="11"/>
      <c r="F2180" s="24"/>
      <c r="G2180" s="11"/>
      <c r="H2180" s="11"/>
    </row>
    <row r="2181" spans="1:8" ht="12.75" hidden="1">
      <c r="A2181" s="11"/>
      <c r="B2181" s="11"/>
      <c r="C2181" s="11"/>
      <c r="D2181" s="24"/>
      <c r="E2181" s="11"/>
      <c r="F2181" s="24"/>
      <c r="G2181" s="11"/>
      <c r="H2181" s="11"/>
    </row>
    <row r="2182" spans="1:8" ht="12.75" hidden="1">
      <c r="A2182" s="11"/>
      <c r="B2182" s="11"/>
      <c r="C2182" s="11"/>
      <c r="D2182" s="24"/>
      <c r="E2182" s="11"/>
      <c r="F2182" s="24"/>
      <c r="G2182" s="11"/>
      <c r="H2182" s="11"/>
    </row>
    <row r="2183" spans="1:8" ht="12.75" hidden="1">
      <c r="A2183" s="11"/>
      <c r="B2183" s="11"/>
      <c r="C2183" s="11"/>
      <c r="D2183" s="24"/>
      <c r="E2183" s="11"/>
      <c r="F2183" s="24"/>
      <c r="G2183" s="11"/>
      <c r="H2183" s="11"/>
    </row>
    <row r="2184" spans="1:8" ht="12.75" hidden="1">
      <c r="A2184" s="11"/>
      <c r="B2184" s="11"/>
      <c r="C2184" s="11"/>
      <c r="D2184" s="24"/>
      <c r="E2184" s="11"/>
      <c r="F2184" s="24"/>
      <c r="G2184" s="11"/>
      <c r="H2184" s="11"/>
    </row>
    <row r="2185" spans="1:8" ht="12.75" hidden="1">
      <c r="A2185" s="11"/>
      <c r="B2185" s="11"/>
      <c r="C2185" s="11"/>
      <c r="D2185" s="24"/>
      <c r="E2185" s="11"/>
      <c r="F2185" s="24"/>
      <c r="G2185" s="11"/>
      <c r="H2185" s="11"/>
    </row>
    <row r="2186" spans="1:8" ht="12.75" hidden="1">
      <c r="A2186" s="11"/>
      <c r="B2186" s="11"/>
      <c r="C2186" s="11"/>
      <c r="D2186" s="24"/>
      <c r="E2186" s="11"/>
      <c r="F2186" s="24"/>
      <c r="G2186" s="11"/>
      <c r="H2186" s="11"/>
    </row>
    <row r="2187" spans="1:8" ht="12.75" hidden="1">
      <c r="A2187" s="11"/>
      <c r="B2187" s="11"/>
      <c r="C2187" s="11"/>
      <c r="D2187" s="24"/>
      <c r="E2187" s="11"/>
      <c r="F2187" s="24"/>
      <c r="G2187" s="11"/>
      <c r="H2187" s="11"/>
    </row>
    <row r="2188" spans="1:8" ht="12.75" hidden="1">
      <c r="A2188" s="11"/>
      <c r="B2188" s="11"/>
      <c r="C2188" s="11"/>
      <c r="D2188" s="24"/>
      <c r="E2188" s="11"/>
      <c r="F2188" s="24"/>
      <c r="G2188" s="11"/>
      <c r="H2188" s="11"/>
    </row>
    <row r="2189" spans="1:8" ht="12.75" hidden="1">
      <c r="A2189" s="11"/>
      <c r="B2189" s="11"/>
      <c r="C2189" s="11"/>
      <c r="D2189" s="24"/>
      <c r="E2189" s="11"/>
      <c r="F2189" s="24"/>
      <c r="G2189" s="11"/>
      <c r="H2189" s="11"/>
    </row>
    <row r="2190" spans="1:8" ht="12.75" hidden="1">
      <c r="A2190" s="11"/>
      <c r="B2190" s="11"/>
      <c r="C2190" s="11"/>
      <c r="D2190" s="24"/>
      <c r="E2190" s="11"/>
      <c r="F2190" s="24"/>
      <c r="G2190" s="11"/>
      <c r="H2190" s="11"/>
    </row>
    <row r="2191" spans="1:8" ht="12.75" hidden="1">
      <c r="A2191" s="11"/>
      <c r="B2191" s="11"/>
      <c r="C2191" s="11"/>
      <c r="D2191" s="24"/>
      <c r="E2191" s="11"/>
      <c r="F2191" s="24"/>
      <c r="G2191" s="11"/>
      <c r="H2191" s="11"/>
    </row>
    <row r="2192" spans="1:8" ht="12.75" hidden="1">
      <c r="A2192" s="11"/>
      <c r="B2192" s="11"/>
      <c r="C2192" s="11"/>
      <c r="D2192" s="24"/>
      <c r="E2192" s="11"/>
      <c r="F2192" s="24"/>
      <c r="G2192" s="11"/>
      <c r="H2192" s="11"/>
    </row>
    <row r="2193" spans="1:8" ht="12.75" hidden="1">
      <c r="A2193" s="11"/>
      <c r="B2193" s="11"/>
      <c r="C2193" s="11"/>
      <c r="D2193" s="24"/>
      <c r="E2193" s="11"/>
      <c r="F2193" s="24"/>
      <c r="G2193" s="11"/>
      <c r="H2193" s="11"/>
    </row>
    <row r="2194" spans="1:8" ht="12.75" hidden="1">
      <c r="A2194" s="11"/>
      <c r="B2194" s="11"/>
      <c r="C2194" s="11"/>
      <c r="D2194" s="24"/>
      <c r="E2194" s="11"/>
      <c r="F2194" s="24"/>
      <c r="G2194" s="11"/>
      <c r="H2194" s="11"/>
    </row>
    <row r="2195" spans="1:8" ht="12.75" hidden="1">
      <c r="A2195" s="11"/>
      <c r="B2195" s="11"/>
      <c r="C2195" s="11"/>
      <c r="D2195" s="24"/>
      <c r="E2195" s="11"/>
      <c r="F2195" s="24"/>
      <c r="G2195" s="11"/>
      <c r="H2195" s="11"/>
    </row>
    <row r="2196" spans="1:8" ht="12.75" hidden="1">
      <c r="A2196" s="11"/>
      <c r="B2196" s="11"/>
      <c r="C2196" s="11"/>
      <c r="D2196" s="24"/>
      <c r="E2196" s="11"/>
      <c r="F2196" s="24"/>
      <c r="G2196" s="11"/>
      <c r="H2196" s="11"/>
    </row>
    <row r="2197" spans="1:8" ht="12.75" hidden="1">
      <c r="A2197" s="11"/>
      <c r="B2197" s="11"/>
      <c r="C2197" s="11"/>
      <c r="D2197" s="24"/>
      <c r="E2197" s="11"/>
      <c r="F2197" s="24"/>
      <c r="G2197" s="11"/>
      <c r="H2197" s="11"/>
    </row>
    <row r="2198" spans="1:8" ht="12.75" hidden="1">
      <c r="A2198" s="11"/>
      <c r="B2198" s="11"/>
      <c r="C2198" s="11"/>
      <c r="D2198" s="24"/>
      <c r="E2198" s="11"/>
      <c r="F2198" s="24"/>
      <c r="G2198" s="11"/>
      <c r="H2198" s="11"/>
    </row>
    <row r="2199" spans="1:8" ht="12.75" hidden="1">
      <c r="A2199" s="11"/>
      <c r="B2199" s="11"/>
      <c r="C2199" s="11"/>
      <c r="D2199" s="24"/>
      <c r="E2199" s="11"/>
      <c r="F2199" s="24"/>
      <c r="G2199" s="11"/>
      <c r="H2199" s="11"/>
    </row>
    <row r="2200" spans="1:8" ht="12.75" hidden="1">
      <c r="A2200" s="11"/>
      <c r="B2200" s="11"/>
      <c r="C2200" s="11"/>
      <c r="D2200" s="24"/>
      <c r="E2200" s="11"/>
      <c r="F2200" s="24"/>
      <c r="G2200" s="11"/>
      <c r="H2200" s="11"/>
    </row>
    <row r="2201" spans="1:8" ht="12.75" hidden="1">
      <c r="A2201" s="11"/>
      <c r="B2201" s="11"/>
      <c r="C2201" s="11"/>
      <c r="D2201" s="24"/>
      <c r="E2201" s="11"/>
      <c r="F2201" s="24"/>
      <c r="G2201" s="11"/>
      <c r="H2201" s="11"/>
    </row>
    <row r="2202" spans="1:8" ht="12.75" hidden="1">
      <c r="A2202" s="11"/>
      <c r="B2202" s="11"/>
      <c r="C2202" s="11"/>
      <c r="D2202" s="24"/>
      <c r="E2202" s="11"/>
      <c r="F2202" s="24"/>
      <c r="G2202" s="11"/>
      <c r="H2202" s="11"/>
    </row>
    <row r="2203" spans="1:8" ht="12.75" hidden="1">
      <c r="A2203" s="11"/>
      <c r="B2203" s="11"/>
      <c r="C2203" s="11"/>
      <c r="D2203" s="24"/>
      <c r="E2203" s="11"/>
      <c r="F2203" s="24"/>
      <c r="G2203" s="11"/>
      <c r="H2203" s="11"/>
    </row>
    <row r="2204" spans="1:8" ht="12.75" hidden="1">
      <c r="A2204" s="11"/>
      <c r="B2204" s="11"/>
      <c r="C2204" s="11"/>
      <c r="D2204" s="24"/>
      <c r="E2204" s="11"/>
      <c r="F2204" s="24"/>
      <c r="G2204" s="11"/>
      <c r="H2204" s="11"/>
    </row>
    <row r="2205" spans="1:8" ht="12.75" hidden="1">
      <c r="A2205" s="11"/>
      <c r="B2205" s="11"/>
      <c r="C2205" s="11"/>
      <c r="D2205" s="24"/>
      <c r="E2205" s="11"/>
      <c r="F2205" s="24"/>
      <c r="G2205" s="11"/>
      <c r="H2205" s="11"/>
    </row>
    <row r="2206" spans="1:8" ht="12.75" hidden="1">
      <c r="A2206" s="11"/>
      <c r="B2206" s="11"/>
      <c r="C2206" s="11"/>
      <c r="D2206" s="24"/>
      <c r="E2206" s="11"/>
      <c r="F2206" s="24"/>
      <c r="G2206" s="11"/>
      <c r="H2206" s="11"/>
    </row>
    <row r="2207" spans="1:8" ht="12.75" hidden="1">
      <c r="A2207" s="11"/>
      <c r="B2207" s="11"/>
      <c r="C2207" s="11"/>
      <c r="D2207" s="24"/>
      <c r="E2207" s="11"/>
      <c r="F2207" s="24"/>
      <c r="G2207" s="11"/>
      <c r="H2207" s="11"/>
    </row>
    <row r="2208" spans="1:8" ht="12.75" hidden="1">
      <c r="A2208" s="11"/>
      <c r="B2208" s="11"/>
      <c r="C2208" s="11"/>
      <c r="D2208" s="24"/>
      <c r="E2208" s="11"/>
      <c r="F2208" s="24"/>
      <c r="G2208" s="11"/>
      <c r="H2208" s="11"/>
    </row>
    <row r="2209" spans="1:8" ht="12.75" hidden="1">
      <c r="A2209" s="11"/>
      <c r="B2209" s="11"/>
      <c r="C2209" s="11"/>
      <c r="D2209" s="24"/>
      <c r="E2209" s="11"/>
      <c r="F2209" s="24"/>
      <c r="G2209" s="11"/>
      <c r="H2209" s="11"/>
    </row>
    <row r="2210" spans="1:8" ht="12.75" hidden="1">
      <c r="A2210" s="11"/>
      <c r="B2210" s="11"/>
      <c r="C2210" s="11"/>
      <c r="D2210" s="24"/>
      <c r="E2210" s="11"/>
      <c r="F2210" s="24"/>
      <c r="G2210" s="11"/>
      <c r="H2210" s="11"/>
    </row>
    <row r="2211" spans="1:8" ht="12.75" hidden="1">
      <c r="A2211" s="11"/>
      <c r="B2211" s="11"/>
      <c r="C2211" s="11"/>
      <c r="D2211" s="24"/>
      <c r="E2211" s="11"/>
      <c r="F2211" s="24"/>
      <c r="G2211" s="11"/>
      <c r="H2211" s="11"/>
    </row>
    <row r="2212" spans="1:8" ht="12.75" hidden="1">
      <c r="A2212" s="11"/>
      <c r="B2212" s="11"/>
      <c r="C2212" s="11"/>
      <c r="D2212" s="24"/>
      <c r="E2212" s="11"/>
      <c r="F2212" s="24"/>
      <c r="G2212" s="11"/>
      <c r="H2212" s="11"/>
    </row>
    <row r="2213" spans="1:8" ht="12.75" hidden="1">
      <c r="A2213" s="11"/>
      <c r="B2213" s="11"/>
      <c r="C2213" s="11"/>
      <c r="D2213" s="24"/>
      <c r="E2213" s="11"/>
      <c r="F2213" s="24"/>
      <c r="G2213" s="11"/>
      <c r="H2213" s="11"/>
    </row>
    <row r="2214" spans="1:8" ht="12.75" hidden="1">
      <c r="A2214" s="11"/>
      <c r="B2214" s="11"/>
      <c r="C2214" s="11"/>
      <c r="D2214" s="24"/>
      <c r="E2214" s="11"/>
      <c r="F2214" s="24"/>
      <c r="G2214" s="11"/>
      <c r="H2214" s="11"/>
    </row>
    <row r="2215" spans="1:8" ht="12.75" hidden="1">
      <c r="A2215" s="11"/>
      <c r="B2215" s="11"/>
      <c r="C2215" s="11"/>
      <c r="D2215" s="24"/>
      <c r="E2215" s="11"/>
      <c r="F2215" s="24"/>
      <c r="G2215" s="11"/>
      <c r="H2215" s="11"/>
    </row>
    <row r="2216" spans="1:8" ht="12.75" hidden="1">
      <c r="A2216" s="11"/>
      <c r="B2216" s="11"/>
      <c r="C2216" s="11"/>
      <c r="D2216" s="24"/>
      <c r="E2216" s="11"/>
      <c r="F2216" s="24"/>
      <c r="G2216" s="11"/>
      <c r="H2216" s="11"/>
    </row>
    <row r="2217" spans="1:8" ht="12.75" hidden="1">
      <c r="A2217" s="11"/>
      <c r="B2217" s="11"/>
      <c r="C2217" s="11"/>
      <c r="D2217" s="24"/>
      <c r="E2217" s="11"/>
      <c r="F2217" s="24"/>
      <c r="G2217" s="11"/>
      <c r="H2217" s="11"/>
    </row>
    <row r="2218" spans="1:8" ht="12.75" hidden="1">
      <c r="A2218" s="11"/>
      <c r="B2218" s="11"/>
      <c r="C2218" s="11"/>
      <c r="D2218" s="24"/>
      <c r="E2218" s="11"/>
      <c r="F2218" s="24"/>
      <c r="G2218" s="11"/>
      <c r="H2218" s="11"/>
    </row>
    <row r="2219" spans="1:8" ht="12.75" hidden="1">
      <c r="A2219" s="11"/>
      <c r="B2219" s="11"/>
      <c r="C2219" s="11"/>
      <c r="D2219" s="24"/>
      <c r="E2219" s="11"/>
      <c r="F2219" s="24"/>
      <c r="G2219" s="11"/>
      <c r="H2219" s="11"/>
    </row>
    <row r="2220" spans="1:8" ht="12.75" hidden="1">
      <c r="A2220" s="11"/>
      <c r="B2220" s="11"/>
      <c r="C2220" s="11"/>
      <c r="D2220" s="24"/>
      <c r="E2220" s="11"/>
      <c r="F2220" s="24"/>
      <c r="G2220" s="11"/>
      <c r="H2220" s="11"/>
    </row>
    <row r="2221" spans="1:8" ht="12.75" hidden="1">
      <c r="A2221" s="11"/>
      <c r="B2221" s="11"/>
      <c r="C2221" s="11"/>
      <c r="D2221" s="24"/>
      <c r="E2221" s="11"/>
      <c r="F2221" s="24"/>
      <c r="G2221" s="11"/>
      <c r="H2221" s="11"/>
    </row>
    <row r="2222" spans="1:8" ht="12.75" hidden="1">
      <c r="A2222" s="11"/>
      <c r="B2222" s="11"/>
      <c r="C2222" s="11"/>
      <c r="D2222" s="24"/>
      <c r="E2222" s="11"/>
      <c r="F2222" s="24"/>
      <c r="G2222" s="11"/>
      <c r="H2222" s="11"/>
    </row>
    <row r="2223" spans="1:8" ht="12.75" hidden="1">
      <c r="A2223" s="11"/>
      <c r="B2223" s="11"/>
      <c r="C2223" s="11"/>
      <c r="D2223" s="24"/>
      <c r="E2223" s="11"/>
      <c r="F2223" s="24"/>
      <c r="G2223" s="11"/>
      <c r="H2223" s="11"/>
    </row>
    <row r="2224" spans="1:8" ht="12.75" hidden="1">
      <c r="A2224" s="11"/>
      <c r="B2224" s="11"/>
      <c r="C2224" s="11"/>
      <c r="D2224" s="24"/>
      <c r="E2224" s="11"/>
      <c r="F2224" s="24"/>
      <c r="G2224" s="11"/>
      <c r="H2224" s="11"/>
    </row>
    <row r="2225" spans="1:8" ht="12.75" hidden="1">
      <c r="A2225" s="11"/>
      <c r="B2225" s="11"/>
      <c r="C2225" s="11"/>
      <c r="D2225" s="24"/>
      <c r="E2225" s="11"/>
      <c r="F2225" s="24"/>
      <c r="G2225" s="11"/>
      <c r="H2225" s="11"/>
    </row>
    <row r="2226" spans="1:8" ht="12.75" hidden="1">
      <c r="A2226" s="11"/>
      <c r="B2226" s="11"/>
      <c r="C2226" s="11"/>
      <c r="D2226" s="24"/>
      <c r="E2226" s="11"/>
      <c r="F2226" s="24"/>
      <c r="G2226" s="11"/>
      <c r="H2226" s="11"/>
    </row>
    <row r="2227" spans="1:8" ht="12.75" hidden="1">
      <c r="A2227" s="11"/>
      <c r="B2227" s="11"/>
      <c r="C2227" s="11"/>
      <c r="D2227" s="24"/>
      <c r="E2227" s="11"/>
      <c r="F2227" s="24"/>
      <c r="G2227" s="11"/>
      <c r="H2227" s="11"/>
    </row>
    <row r="2228" spans="1:8" ht="12.75" hidden="1">
      <c r="A2228" s="11"/>
      <c r="B2228" s="11"/>
      <c r="C2228" s="11"/>
      <c r="D2228" s="24"/>
      <c r="E2228" s="11"/>
      <c r="F2228" s="24"/>
      <c r="G2228" s="11"/>
      <c r="H2228" s="11"/>
    </row>
    <row r="2229" spans="1:8" ht="12.75" hidden="1">
      <c r="A2229" s="11"/>
      <c r="B2229" s="11"/>
      <c r="C2229" s="11"/>
      <c r="D2229" s="24"/>
      <c r="E2229" s="11"/>
      <c r="F2229" s="24"/>
      <c r="G2229" s="11"/>
      <c r="H2229" s="11"/>
    </row>
    <row r="2230" spans="1:8" ht="12.75" hidden="1">
      <c r="A2230" s="11"/>
      <c r="B2230" s="11"/>
      <c r="C2230" s="11"/>
      <c r="D2230" s="24"/>
      <c r="E2230" s="11"/>
      <c r="F2230" s="24"/>
      <c r="G2230" s="11"/>
      <c r="H2230" s="11"/>
    </row>
    <row r="2231" spans="1:8" ht="12.75" hidden="1">
      <c r="A2231" s="11"/>
      <c r="B2231" s="11"/>
      <c r="C2231" s="11"/>
      <c r="D2231" s="24"/>
      <c r="E2231" s="11"/>
      <c r="F2231" s="24"/>
      <c r="G2231" s="11"/>
      <c r="H2231" s="11"/>
    </row>
    <row r="2232" spans="1:8" ht="12.75" hidden="1">
      <c r="A2232" s="11"/>
      <c r="B2232" s="11"/>
      <c r="C2232" s="11"/>
      <c r="D2232" s="24"/>
      <c r="E2232" s="11"/>
      <c r="F2232" s="24"/>
      <c r="G2232" s="11"/>
      <c r="H2232" s="11"/>
    </row>
    <row r="2233" spans="1:8" ht="12.75" hidden="1">
      <c r="A2233" s="11"/>
      <c r="B2233" s="11"/>
      <c r="C2233" s="11"/>
      <c r="D2233" s="24"/>
      <c r="E2233" s="11"/>
      <c r="F2233" s="24"/>
      <c r="G2233" s="11"/>
      <c r="H2233" s="11"/>
    </row>
    <row r="2234" spans="1:8" ht="12.75" hidden="1">
      <c r="A2234" s="11"/>
      <c r="B2234" s="11"/>
      <c r="C2234" s="11"/>
      <c r="D2234" s="24"/>
      <c r="E2234" s="11"/>
      <c r="F2234" s="24"/>
      <c r="G2234" s="11"/>
      <c r="H2234" s="11"/>
    </row>
    <row r="2235" spans="1:8" ht="12.75" hidden="1">
      <c r="A2235" s="11"/>
      <c r="B2235" s="11"/>
      <c r="C2235" s="11"/>
      <c r="D2235" s="24"/>
      <c r="E2235" s="11"/>
      <c r="F2235" s="24"/>
      <c r="G2235" s="11"/>
      <c r="H2235" s="11"/>
    </row>
    <row r="2236" spans="1:8" ht="12.75" hidden="1">
      <c r="A2236" s="11"/>
      <c r="B2236" s="11"/>
      <c r="C2236" s="11"/>
      <c r="D2236" s="24"/>
      <c r="E2236" s="11"/>
      <c r="F2236" s="24"/>
      <c r="G2236" s="11"/>
      <c r="H2236" s="11"/>
    </row>
    <row r="2237" spans="1:8" ht="12.75" hidden="1">
      <c r="A2237" s="11"/>
      <c r="B2237" s="11"/>
      <c r="C2237" s="11"/>
      <c r="D2237" s="24"/>
      <c r="E2237" s="11"/>
      <c r="F2237" s="24"/>
      <c r="G2237" s="11"/>
      <c r="H2237" s="11"/>
    </row>
    <row r="2238" spans="1:8" ht="12.75" hidden="1">
      <c r="A2238" s="11"/>
      <c r="B2238" s="11"/>
      <c r="C2238" s="11"/>
      <c r="D2238" s="24"/>
      <c r="E2238" s="11"/>
      <c r="F2238" s="24"/>
      <c r="G2238" s="11"/>
      <c r="H2238" s="11"/>
    </row>
    <row r="2239" spans="1:8" ht="12.75" hidden="1">
      <c r="A2239" s="11"/>
      <c r="B2239" s="11"/>
      <c r="C2239" s="11"/>
      <c r="D2239" s="24"/>
      <c r="E2239" s="11"/>
      <c r="F2239" s="24"/>
      <c r="G2239" s="11"/>
      <c r="H2239" s="11"/>
    </row>
    <row r="2240" spans="1:8" ht="12.75" hidden="1">
      <c r="A2240" s="11"/>
      <c r="B2240" s="11"/>
      <c r="C2240" s="11"/>
      <c r="D2240" s="24"/>
      <c r="E2240" s="11"/>
      <c r="F2240" s="24"/>
      <c r="G2240" s="11"/>
      <c r="H2240" s="11"/>
    </row>
    <row r="2241" spans="1:8" ht="12.75" hidden="1">
      <c r="A2241" s="11"/>
      <c r="B2241" s="11"/>
      <c r="C2241" s="11"/>
      <c r="D2241" s="24"/>
      <c r="E2241" s="11"/>
      <c r="F2241" s="24"/>
      <c r="G2241" s="11"/>
      <c r="H2241" s="11"/>
    </row>
    <row r="2242" spans="1:8" ht="12.75" hidden="1">
      <c r="A2242" s="11"/>
      <c r="B2242" s="11"/>
      <c r="C2242" s="11"/>
      <c r="D2242" s="24"/>
      <c r="E2242" s="11"/>
      <c r="F2242" s="24"/>
      <c r="G2242" s="11"/>
      <c r="H2242" s="11"/>
    </row>
    <row r="2243" spans="1:8" ht="12.75" hidden="1">
      <c r="A2243" s="11"/>
      <c r="B2243" s="11"/>
      <c r="C2243" s="11"/>
      <c r="D2243" s="24"/>
      <c r="E2243" s="11"/>
      <c r="F2243" s="24"/>
      <c r="G2243" s="11"/>
      <c r="H2243" s="11"/>
    </row>
    <row r="2244" spans="1:8" ht="12.75" hidden="1">
      <c r="A2244" s="11"/>
      <c r="B2244" s="11"/>
      <c r="C2244" s="11"/>
      <c r="D2244" s="24"/>
      <c r="E2244" s="11"/>
      <c r="F2244" s="24"/>
      <c r="G2244" s="11"/>
      <c r="H2244" s="11"/>
    </row>
    <row r="2245" spans="1:8" ht="12.75" hidden="1">
      <c r="A2245" s="11"/>
      <c r="B2245" s="11"/>
      <c r="C2245" s="11"/>
      <c r="D2245" s="24"/>
      <c r="E2245" s="11"/>
      <c r="F2245" s="24"/>
      <c r="G2245" s="11"/>
      <c r="H2245" s="11"/>
    </row>
    <row r="2246" spans="1:8" ht="12.75" hidden="1">
      <c r="A2246" s="11"/>
      <c r="B2246" s="11"/>
      <c r="C2246" s="11"/>
      <c r="D2246" s="24"/>
      <c r="E2246" s="11"/>
      <c r="F2246" s="24"/>
      <c r="G2246" s="11"/>
      <c r="H2246" s="11"/>
    </row>
    <row r="2247" spans="1:8" ht="12.75" hidden="1">
      <c r="A2247" s="11"/>
      <c r="B2247" s="11"/>
      <c r="C2247" s="11"/>
      <c r="D2247" s="24"/>
      <c r="E2247" s="11"/>
      <c r="F2247" s="24"/>
      <c r="G2247" s="11"/>
      <c r="H2247" s="11"/>
    </row>
    <row r="2248" spans="1:8" ht="12.75" hidden="1">
      <c r="A2248" s="11"/>
      <c r="B2248" s="11"/>
      <c r="C2248" s="11"/>
      <c r="D2248" s="24"/>
      <c r="E2248" s="11"/>
      <c r="F2248" s="24"/>
      <c r="G2248" s="11"/>
      <c r="H2248" s="11"/>
    </row>
    <row r="2249" spans="1:8" ht="12.75" hidden="1">
      <c r="A2249" s="11"/>
      <c r="B2249" s="11"/>
      <c r="C2249" s="11"/>
      <c r="D2249" s="24"/>
      <c r="E2249" s="11"/>
      <c r="F2249" s="24"/>
      <c r="G2249" s="11"/>
      <c r="H2249" s="11"/>
    </row>
    <row r="2250" spans="1:8" ht="12.75" hidden="1">
      <c r="A2250" s="11"/>
      <c r="B2250" s="11"/>
      <c r="C2250" s="11"/>
      <c r="D2250" s="24"/>
      <c r="E2250" s="11"/>
      <c r="F2250" s="24"/>
      <c r="G2250" s="11"/>
      <c r="H2250" s="11"/>
    </row>
    <row r="2251" spans="1:8" ht="12.75" hidden="1">
      <c r="A2251" s="11"/>
      <c r="B2251" s="11"/>
      <c r="C2251" s="11"/>
      <c r="D2251" s="24"/>
      <c r="E2251" s="11"/>
      <c r="F2251" s="24"/>
      <c r="G2251" s="11"/>
      <c r="H2251" s="11"/>
    </row>
    <row r="2252" spans="1:8" ht="12.75" hidden="1">
      <c r="A2252" s="11"/>
      <c r="B2252" s="11"/>
      <c r="C2252" s="11"/>
      <c r="D2252" s="24"/>
      <c r="E2252" s="11"/>
      <c r="F2252" s="24"/>
      <c r="G2252" s="11"/>
      <c r="H2252" s="11"/>
    </row>
    <row r="2253" spans="1:8" ht="12.75" hidden="1">
      <c r="A2253" s="11"/>
      <c r="B2253" s="11"/>
      <c r="C2253" s="11"/>
      <c r="D2253" s="24"/>
      <c r="E2253" s="11"/>
      <c r="F2253" s="24"/>
      <c r="G2253" s="11"/>
      <c r="H2253" s="11"/>
    </row>
    <row r="2254" spans="1:8" ht="12.75" hidden="1">
      <c r="A2254" s="11"/>
      <c r="B2254" s="11"/>
      <c r="C2254" s="11"/>
      <c r="D2254" s="24"/>
      <c r="E2254" s="11"/>
      <c r="F2254" s="24"/>
      <c r="G2254" s="11"/>
      <c r="H2254" s="11"/>
    </row>
    <row r="2255" spans="1:8" ht="12.75" hidden="1">
      <c r="A2255" s="11"/>
      <c r="B2255" s="11"/>
      <c r="C2255" s="11"/>
      <c r="D2255" s="24"/>
      <c r="E2255" s="11"/>
      <c r="F2255" s="24"/>
      <c r="G2255" s="11"/>
      <c r="H2255" s="11"/>
    </row>
    <row r="2256" spans="1:8" ht="12.75" hidden="1">
      <c r="A2256" s="11"/>
      <c r="B2256" s="11"/>
      <c r="C2256" s="11"/>
      <c r="D2256" s="24"/>
      <c r="E2256" s="11"/>
      <c r="F2256" s="24"/>
      <c r="G2256" s="11"/>
      <c r="H2256" s="11"/>
    </row>
    <row r="2257" spans="1:8" ht="12.75" hidden="1">
      <c r="A2257" s="11"/>
      <c r="B2257" s="11"/>
      <c r="C2257" s="11"/>
      <c r="D2257" s="24"/>
      <c r="E2257" s="11"/>
      <c r="F2257" s="24"/>
      <c r="G2257" s="11"/>
      <c r="H2257" s="11"/>
    </row>
    <row r="2258" spans="1:8" ht="12.75" hidden="1">
      <c r="A2258" s="11"/>
      <c r="B2258" s="11"/>
      <c r="C2258" s="11"/>
      <c r="D2258" s="24"/>
      <c r="E2258" s="11"/>
      <c r="F2258" s="24"/>
      <c r="G2258" s="11"/>
      <c r="H2258" s="11"/>
    </row>
    <row r="2259" spans="1:8" ht="12.75" hidden="1">
      <c r="A2259" s="11"/>
      <c r="B2259" s="11"/>
      <c r="C2259" s="11"/>
      <c r="D2259" s="24"/>
      <c r="E2259" s="11"/>
      <c r="F2259" s="24"/>
      <c r="G2259" s="11"/>
      <c r="H2259" s="11"/>
    </row>
    <row r="2260" spans="1:8" ht="12.75" hidden="1">
      <c r="A2260" s="11"/>
      <c r="B2260" s="11"/>
      <c r="C2260" s="11"/>
      <c r="D2260" s="24"/>
      <c r="E2260" s="11"/>
      <c r="F2260" s="24"/>
      <c r="G2260" s="11"/>
      <c r="H2260" s="11"/>
    </row>
    <row r="2261" spans="1:8" ht="12.75" hidden="1">
      <c r="A2261" s="11"/>
      <c r="B2261" s="11"/>
      <c r="C2261" s="11"/>
      <c r="D2261" s="24"/>
      <c r="E2261" s="11"/>
      <c r="F2261" s="24"/>
      <c r="G2261" s="11"/>
      <c r="H2261" s="11"/>
    </row>
    <row r="2262" spans="1:8" ht="12.75" hidden="1">
      <c r="A2262" s="11"/>
      <c r="B2262" s="11"/>
      <c r="C2262" s="11"/>
      <c r="D2262" s="24"/>
      <c r="E2262" s="11"/>
      <c r="F2262" s="24"/>
      <c r="G2262" s="11"/>
      <c r="H2262" s="11"/>
    </row>
    <row r="2263" spans="1:8" ht="12.75" hidden="1">
      <c r="A2263" s="11"/>
      <c r="B2263" s="11"/>
      <c r="C2263" s="11"/>
      <c r="D2263" s="24"/>
      <c r="E2263" s="11"/>
      <c r="F2263" s="24"/>
      <c r="G2263" s="11"/>
      <c r="H2263" s="11"/>
    </row>
    <row r="2264" spans="1:8" ht="12.75" hidden="1">
      <c r="A2264" s="11"/>
      <c r="B2264" s="11"/>
      <c r="C2264" s="11"/>
      <c r="D2264" s="24"/>
      <c r="E2264" s="11"/>
      <c r="F2264" s="24"/>
      <c r="G2264" s="11"/>
      <c r="H2264" s="11"/>
    </row>
    <row r="2265" spans="1:8" ht="12.75" hidden="1">
      <c r="A2265" s="11"/>
      <c r="B2265" s="11"/>
      <c r="C2265" s="11"/>
      <c r="D2265" s="24"/>
      <c r="E2265" s="11"/>
      <c r="F2265" s="24"/>
      <c r="G2265" s="11"/>
      <c r="H2265" s="11"/>
    </row>
    <row r="2266" spans="1:8" ht="12.75" hidden="1">
      <c r="A2266" s="11"/>
      <c r="B2266" s="11"/>
      <c r="C2266" s="11"/>
      <c r="D2266" s="24"/>
      <c r="E2266" s="11"/>
      <c r="F2266" s="24"/>
      <c r="G2266" s="11"/>
      <c r="H2266" s="11"/>
    </row>
    <row r="2267" spans="1:8" ht="12.75" hidden="1">
      <c r="A2267" s="11"/>
      <c r="B2267" s="11"/>
      <c r="C2267" s="11"/>
      <c r="D2267" s="24"/>
      <c r="E2267" s="11"/>
      <c r="F2267" s="24"/>
      <c r="G2267" s="11"/>
      <c r="H2267" s="11"/>
    </row>
    <row r="2268" spans="1:8" ht="12.75" hidden="1">
      <c r="A2268" s="11"/>
      <c r="B2268" s="11"/>
      <c r="C2268" s="11"/>
      <c r="D2268" s="24"/>
      <c r="E2268" s="11"/>
      <c r="F2268" s="24"/>
      <c r="G2268" s="11"/>
      <c r="H2268" s="11"/>
    </row>
    <row r="2269" spans="1:8" ht="12.75" hidden="1">
      <c r="A2269" s="11"/>
      <c r="B2269" s="11"/>
      <c r="C2269" s="11"/>
      <c r="D2269" s="24"/>
      <c r="E2269" s="11"/>
      <c r="F2269" s="24"/>
      <c r="G2269" s="11"/>
      <c r="H2269" s="11"/>
    </row>
    <row r="2270" spans="1:8" ht="12.75" hidden="1">
      <c r="A2270" s="11"/>
      <c r="B2270" s="11"/>
      <c r="C2270" s="11"/>
      <c r="D2270" s="24"/>
      <c r="E2270" s="11"/>
      <c r="F2270" s="24"/>
      <c r="G2270" s="11"/>
      <c r="H2270" s="11"/>
    </row>
    <row r="2271" spans="1:8" ht="12.75" hidden="1">
      <c r="A2271" s="11"/>
      <c r="B2271" s="11"/>
      <c r="C2271" s="11"/>
      <c r="D2271" s="24"/>
      <c r="E2271" s="11"/>
      <c r="F2271" s="24"/>
      <c r="G2271" s="11"/>
      <c r="H2271" s="11"/>
    </row>
    <row r="2272" spans="1:8" ht="12.75" hidden="1">
      <c r="A2272" s="11"/>
      <c r="B2272" s="11"/>
      <c r="C2272" s="11"/>
      <c r="D2272" s="24"/>
      <c r="E2272" s="11"/>
      <c r="F2272" s="24"/>
      <c r="G2272" s="11"/>
      <c r="H2272" s="11"/>
    </row>
    <row r="2273" spans="1:8" ht="12.75" hidden="1">
      <c r="A2273" s="11"/>
      <c r="B2273" s="11"/>
      <c r="C2273" s="11"/>
      <c r="D2273" s="24"/>
      <c r="E2273" s="11"/>
      <c r="F2273" s="24"/>
      <c r="G2273" s="11"/>
      <c r="H2273" s="11"/>
    </row>
    <row r="2274" spans="1:8" ht="12.75" hidden="1">
      <c r="A2274" s="11"/>
      <c r="B2274" s="11"/>
      <c r="C2274" s="11"/>
      <c r="D2274" s="24"/>
      <c r="E2274" s="11"/>
      <c r="F2274" s="24"/>
      <c r="G2274" s="11"/>
      <c r="H2274" s="11"/>
    </row>
    <row r="2275" spans="1:8" ht="12.75" hidden="1">
      <c r="A2275" s="11"/>
      <c r="B2275" s="11"/>
      <c r="C2275" s="11"/>
      <c r="D2275" s="24"/>
      <c r="E2275" s="11"/>
      <c r="F2275" s="24"/>
      <c r="G2275" s="11"/>
      <c r="H2275" s="11"/>
    </row>
    <row r="2276" spans="1:8" ht="12.75" hidden="1">
      <c r="A2276" s="11"/>
      <c r="B2276" s="11"/>
      <c r="C2276" s="11"/>
      <c r="D2276" s="24"/>
      <c r="E2276" s="11"/>
      <c r="F2276" s="24"/>
      <c r="G2276" s="11"/>
      <c r="H2276" s="11"/>
    </row>
    <row r="2277" spans="1:8" ht="12.75" hidden="1">
      <c r="A2277" s="11"/>
      <c r="B2277" s="11"/>
      <c r="C2277" s="11"/>
      <c r="D2277" s="24"/>
      <c r="E2277" s="11"/>
      <c r="F2277" s="24"/>
      <c r="G2277" s="11"/>
      <c r="H2277" s="11"/>
    </row>
    <row r="2278" spans="1:8" ht="12.75" hidden="1">
      <c r="A2278" s="11"/>
      <c r="B2278" s="11"/>
      <c r="C2278" s="11"/>
      <c r="D2278" s="24"/>
      <c r="E2278" s="11"/>
      <c r="F2278" s="24"/>
      <c r="G2278" s="11"/>
      <c r="H2278" s="11"/>
    </row>
    <row r="2279" spans="1:8" ht="12.75" hidden="1">
      <c r="A2279" s="11"/>
      <c r="B2279" s="11"/>
      <c r="C2279" s="11"/>
      <c r="D2279" s="24"/>
      <c r="E2279" s="11"/>
      <c r="F2279" s="24"/>
      <c r="G2279" s="11"/>
      <c r="H2279" s="11"/>
    </row>
    <row r="2280" spans="1:8" ht="12.75" hidden="1">
      <c r="A2280" s="11"/>
      <c r="B2280" s="11"/>
      <c r="C2280" s="11"/>
      <c r="D2280" s="24"/>
      <c r="E2280" s="11"/>
      <c r="F2280" s="24"/>
      <c r="G2280" s="11"/>
      <c r="H2280" s="11"/>
    </row>
    <row r="2281" spans="1:8" ht="12.75" hidden="1">
      <c r="A2281" s="11"/>
      <c r="B2281" s="11"/>
      <c r="C2281" s="11"/>
      <c r="D2281" s="24"/>
      <c r="E2281" s="11"/>
      <c r="F2281" s="24"/>
      <c r="G2281" s="11"/>
      <c r="H2281" s="11"/>
    </row>
    <row r="2282" spans="1:8" ht="12.75" hidden="1">
      <c r="A2282" s="11"/>
      <c r="B2282" s="11"/>
      <c r="C2282" s="11"/>
      <c r="D2282" s="24"/>
      <c r="E2282" s="11"/>
      <c r="F2282" s="24"/>
      <c r="G2282" s="11"/>
      <c r="H2282" s="11"/>
    </row>
    <row r="2283" spans="1:8" ht="12.75" hidden="1">
      <c r="A2283" s="11"/>
      <c r="B2283" s="11"/>
      <c r="C2283" s="11"/>
      <c r="D2283" s="24"/>
      <c r="E2283" s="11"/>
      <c r="F2283" s="24"/>
      <c r="G2283" s="11"/>
      <c r="H2283" s="11"/>
    </row>
    <row r="2284" spans="1:8" ht="12.75" hidden="1">
      <c r="A2284" s="11"/>
      <c r="B2284" s="11"/>
      <c r="C2284" s="11"/>
      <c r="D2284" s="24"/>
      <c r="E2284" s="11"/>
      <c r="F2284" s="24"/>
      <c r="G2284" s="11"/>
      <c r="H2284" s="11"/>
    </row>
    <row r="2285" spans="1:8" ht="12.75" hidden="1">
      <c r="A2285" s="11"/>
      <c r="B2285" s="11"/>
      <c r="C2285" s="11"/>
      <c r="D2285" s="24"/>
      <c r="E2285" s="11"/>
      <c r="F2285" s="24"/>
      <c r="G2285" s="11"/>
      <c r="H2285" s="11"/>
    </row>
    <row r="2286" spans="1:8" ht="12.75" hidden="1">
      <c r="A2286" s="11"/>
      <c r="B2286" s="11"/>
      <c r="C2286" s="11"/>
      <c r="D2286" s="24"/>
      <c r="E2286" s="11"/>
      <c r="F2286" s="24"/>
      <c r="G2286" s="11"/>
      <c r="H2286" s="11"/>
    </row>
    <row r="2287" spans="1:8" ht="12.75" hidden="1">
      <c r="A2287" s="11"/>
      <c r="B2287" s="11"/>
      <c r="C2287" s="11"/>
      <c r="D2287" s="24"/>
      <c r="E2287" s="11"/>
      <c r="F2287" s="24"/>
      <c r="G2287" s="11"/>
      <c r="H2287" s="11"/>
    </row>
    <row r="2288" spans="1:8" ht="12.75" hidden="1">
      <c r="A2288" s="11"/>
      <c r="B2288" s="11"/>
      <c r="C2288" s="11"/>
      <c r="D2288" s="24"/>
      <c r="E2288" s="11"/>
      <c r="F2288" s="24"/>
      <c r="G2288" s="11"/>
      <c r="H2288" s="11"/>
    </row>
    <row r="2289" spans="1:8" ht="12.75" hidden="1">
      <c r="A2289" s="11"/>
      <c r="B2289" s="11"/>
      <c r="C2289" s="11"/>
      <c r="D2289" s="24"/>
      <c r="E2289" s="11"/>
      <c r="F2289" s="24"/>
      <c r="G2289" s="11"/>
      <c r="H2289" s="11"/>
    </row>
    <row r="2290" spans="1:8" ht="12.75" hidden="1">
      <c r="A2290" s="11"/>
      <c r="B2290" s="11"/>
      <c r="C2290" s="11"/>
      <c r="D2290" s="24"/>
      <c r="E2290" s="11"/>
      <c r="F2290" s="24"/>
      <c r="G2290" s="11"/>
      <c r="H2290" s="11"/>
    </row>
    <row r="2291" spans="1:8" ht="12.75" hidden="1">
      <c r="A2291" s="11"/>
      <c r="B2291" s="11"/>
      <c r="C2291" s="11"/>
      <c r="D2291" s="24"/>
      <c r="E2291" s="11"/>
      <c r="F2291" s="24"/>
      <c r="G2291" s="11"/>
      <c r="H2291" s="11"/>
    </row>
    <row r="2292" spans="1:8" ht="12.75" hidden="1">
      <c r="A2292" s="11"/>
      <c r="B2292" s="11"/>
      <c r="C2292" s="11"/>
      <c r="D2292" s="24"/>
      <c r="E2292" s="11"/>
      <c r="F2292" s="24"/>
      <c r="G2292" s="11"/>
      <c r="H2292" s="11"/>
    </row>
    <row r="2293" spans="1:8" ht="12.75" hidden="1">
      <c r="A2293" s="11"/>
      <c r="B2293" s="11"/>
      <c r="C2293" s="11"/>
      <c r="D2293" s="24"/>
      <c r="E2293" s="11"/>
      <c r="F2293" s="24"/>
      <c r="G2293" s="11"/>
      <c r="H2293" s="11"/>
    </row>
    <row r="2294" spans="1:8" ht="12.75" hidden="1">
      <c r="A2294" s="11"/>
      <c r="B2294" s="11"/>
      <c r="C2294" s="11"/>
      <c r="D2294" s="24"/>
      <c r="E2294" s="11"/>
      <c r="F2294" s="24"/>
      <c r="G2294" s="11"/>
    </row>
    <row r="2295" spans="1:8" ht="12.75" hidden="1">
      <c r="A2295" s="11"/>
      <c r="B2295" s="11"/>
      <c r="C2295" s="11"/>
      <c r="D2295" s="24"/>
      <c r="E2295" s="11"/>
      <c r="F2295" s="24"/>
      <c r="G2295" s="11"/>
    </row>
    <row r="2296" spans="1:8" ht="12.75" hidden="1">
      <c r="A2296" s="11"/>
      <c r="B2296" s="11"/>
      <c r="C2296" s="11"/>
      <c r="D2296" s="24"/>
      <c r="E2296" s="11"/>
      <c r="F2296" s="24"/>
      <c r="G2296" s="11"/>
    </row>
    <row r="2297" spans="1:8" ht="12.75" hidden="1">
      <c r="A2297" s="11"/>
      <c r="B2297" s="11"/>
      <c r="C2297" s="11"/>
      <c r="D2297" s="24"/>
      <c r="E2297" s="11"/>
      <c r="F2297" s="24"/>
      <c r="G2297" s="11"/>
    </row>
    <row r="2298" spans="1:8" ht="12.75" hidden="1">
      <c r="A2298" s="11"/>
      <c r="B2298" s="11"/>
      <c r="C2298" s="11"/>
      <c r="D2298" s="24"/>
      <c r="E2298" s="11"/>
      <c r="F2298" s="24"/>
      <c r="G2298" s="11"/>
    </row>
    <row r="2299" spans="1:8" ht="12.75" hidden="1">
      <c r="A2299" s="11"/>
      <c r="B2299" s="11"/>
      <c r="C2299" s="11"/>
      <c r="D2299" s="24"/>
      <c r="E2299" s="11"/>
      <c r="F2299" s="24"/>
      <c r="G2299" s="11"/>
    </row>
    <row r="2300" spans="1:8" ht="12.75" hidden="1">
      <c r="A2300" s="11"/>
      <c r="B2300" s="11"/>
      <c r="C2300" s="11"/>
      <c r="D2300" s="24"/>
      <c r="E2300" s="11"/>
      <c r="F2300" s="24"/>
      <c r="G2300" s="11"/>
    </row>
    <row r="2301" spans="1:8" ht="12.75" hidden="1">
      <c r="A2301" s="11"/>
      <c r="B2301" s="11"/>
      <c r="C2301" s="11"/>
      <c r="D2301" s="24"/>
      <c r="E2301" s="11"/>
      <c r="F2301" s="24"/>
      <c r="G2301" s="11"/>
    </row>
    <row r="2302" spans="1:8" ht="12.75" hidden="1">
      <c r="A2302" s="11"/>
      <c r="B2302" s="11"/>
      <c r="C2302" s="11"/>
      <c r="D2302" s="24"/>
      <c r="E2302" s="11"/>
      <c r="F2302" s="24"/>
      <c r="G2302" s="11"/>
    </row>
    <row r="2303" spans="1:8" ht="12.75" hidden="1">
      <c r="A2303" s="11"/>
      <c r="B2303" s="11"/>
      <c r="C2303" s="11"/>
      <c r="D2303" s="24"/>
      <c r="E2303" s="11"/>
      <c r="F2303" s="24"/>
      <c r="G2303" s="11"/>
    </row>
    <row r="2304" spans="1:8" ht="12.75" hidden="1">
      <c r="A2304" s="11"/>
      <c r="B2304" s="11"/>
      <c r="C2304" s="11"/>
      <c r="D2304" s="24"/>
      <c r="E2304" s="11"/>
      <c r="F2304" s="24"/>
      <c r="G2304" s="11"/>
    </row>
    <row r="2305" spans="1:7" ht="12.75" hidden="1">
      <c r="A2305" s="11"/>
      <c r="B2305" s="11"/>
      <c r="C2305" s="11"/>
      <c r="D2305" s="24"/>
      <c r="E2305" s="11"/>
      <c r="F2305" s="24"/>
      <c r="G2305" s="11"/>
    </row>
    <row r="2306" spans="1:7" ht="12.75" hidden="1">
      <c r="A2306" s="11"/>
      <c r="B2306" s="11"/>
      <c r="C2306" s="11"/>
      <c r="D2306" s="24"/>
      <c r="E2306" s="11"/>
      <c r="F2306" s="24"/>
      <c r="G2306" s="11"/>
    </row>
    <row r="2307" spans="1:7" ht="12.75" hidden="1">
      <c r="A2307" s="11"/>
      <c r="B2307" s="11"/>
      <c r="C2307" s="11"/>
      <c r="D2307" s="24"/>
      <c r="E2307" s="11"/>
      <c r="F2307" s="24"/>
      <c r="G2307" s="11"/>
    </row>
    <row r="2308" spans="1:7" ht="12.75" hidden="1">
      <c r="A2308" s="11"/>
      <c r="B2308" s="11"/>
      <c r="C2308" s="11"/>
      <c r="D2308" s="24"/>
      <c r="E2308" s="11"/>
      <c r="F2308" s="24"/>
      <c r="G2308" s="11"/>
    </row>
    <row r="2309" spans="1:7" ht="12.75" hidden="1">
      <c r="A2309" s="11"/>
      <c r="B2309" s="11"/>
      <c r="C2309" s="11"/>
      <c r="D2309" s="24"/>
      <c r="E2309" s="11"/>
      <c r="F2309" s="24"/>
      <c r="G2309" s="11"/>
    </row>
    <row r="2310" spans="1:7" ht="12.75" hidden="1">
      <c r="A2310" s="11"/>
      <c r="B2310" s="11"/>
      <c r="C2310" s="11"/>
      <c r="D2310" s="24"/>
      <c r="E2310" s="11"/>
      <c r="F2310" s="24"/>
      <c r="G2310" s="11"/>
    </row>
    <row r="2311" spans="1:7" ht="12.75" hidden="1">
      <c r="A2311" s="11"/>
      <c r="B2311" s="11"/>
      <c r="C2311" s="11"/>
      <c r="D2311" s="24"/>
      <c r="E2311" s="11"/>
      <c r="F2311" s="24"/>
      <c r="G2311" s="11"/>
    </row>
    <row r="2312" spans="1:7" ht="12.75" hidden="1">
      <c r="A2312" s="11"/>
      <c r="B2312" s="11"/>
      <c r="C2312" s="11"/>
      <c r="D2312" s="24"/>
      <c r="E2312" s="11"/>
      <c r="F2312" s="24"/>
      <c r="G2312" s="11"/>
    </row>
    <row r="2313" spans="1:7" ht="12.75" hidden="1">
      <c r="A2313" s="11"/>
      <c r="B2313" s="11"/>
      <c r="C2313" s="11"/>
      <c r="D2313" s="24"/>
      <c r="E2313" s="11"/>
      <c r="F2313" s="24"/>
      <c r="G2313" s="11"/>
    </row>
    <row r="2314" spans="1:7" ht="12.75" hidden="1">
      <c r="A2314" s="11"/>
      <c r="B2314" s="11"/>
      <c r="C2314" s="11"/>
      <c r="D2314" s="24"/>
      <c r="E2314" s="11"/>
      <c r="F2314" s="24"/>
      <c r="G2314" s="11"/>
    </row>
    <row r="2315" spans="1:7" ht="12.75" hidden="1">
      <c r="A2315" s="11"/>
      <c r="B2315" s="11"/>
      <c r="C2315" s="11"/>
      <c r="D2315" s="24"/>
      <c r="E2315" s="11"/>
      <c r="F2315" s="24"/>
      <c r="G2315" s="11"/>
    </row>
    <row r="2316" spans="1:7" ht="12.75" hidden="1">
      <c r="A2316" s="11"/>
      <c r="B2316" s="11"/>
      <c r="C2316" s="11"/>
      <c r="D2316" s="24"/>
      <c r="E2316" s="11"/>
      <c r="F2316" s="24"/>
      <c r="G2316" s="11"/>
    </row>
    <row r="2317" spans="1:7" ht="12.75" hidden="1">
      <c r="A2317" s="11"/>
      <c r="B2317" s="11"/>
      <c r="C2317" s="11"/>
      <c r="D2317" s="24"/>
      <c r="E2317" s="11"/>
      <c r="F2317" s="24"/>
      <c r="G2317" s="11"/>
    </row>
    <row r="2318" spans="1:7" ht="12.75" hidden="1">
      <c r="A2318" s="11"/>
      <c r="B2318" s="11"/>
      <c r="C2318" s="11"/>
      <c r="D2318" s="24"/>
      <c r="E2318" s="11"/>
      <c r="F2318" s="24"/>
      <c r="G2318" s="11"/>
    </row>
    <row r="2319" spans="1:7" ht="12.75" hidden="1">
      <c r="A2319" s="11"/>
      <c r="B2319" s="11"/>
      <c r="C2319" s="11"/>
      <c r="D2319" s="24"/>
      <c r="E2319" s="11"/>
      <c r="F2319" s="24"/>
      <c r="G2319" s="11"/>
    </row>
    <row r="2320" spans="1:7" ht="12.75" hidden="1">
      <c r="A2320" s="11"/>
      <c r="B2320" s="11"/>
      <c r="C2320" s="11"/>
      <c r="D2320" s="24"/>
      <c r="E2320" s="11"/>
      <c r="F2320" s="24"/>
      <c r="G2320" s="11"/>
    </row>
    <row r="2321" spans="1:7" ht="12.75" hidden="1">
      <c r="A2321" s="11"/>
      <c r="B2321" s="11"/>
      <c r="C2321" s="11"/>
      <c r="D2321" s="24"/>
      <c r="E2321" s="11"/>
      <c r="F2321" s="24"/>
      <c r="G2321" s="11"/>
    </row>
    <row r="2322" spans="1:7" ht="12.75" hidden="1">
      <c r="A2322" s="11"/>
      <c r="B2322" s="11"/>
      <c r="C2322" s="11"/>
      <c r="D2322" s="24"/>
      <c r="E2322" s="11"/>
      <c r="F2322" s="24"/>
      <c r="G2322" s="11"/>
    </row>
    <row r="2323" spans="1:7" ht="12.75" hidden="1">
      <c r="A2323" s="11"/>
      <c r="B2323" s="11"/>
      <c r="C2323" s="11"/>
      <c r="D2323" s="24"/>
      <c r="E2323" s="11"/>
      <c r="F2323" s="24"/>
      <c r="G2323" s="11"/>
    </row>
    <row r="2324" spans="1:7" ht="12.75" hidden="1">
      <c r="A2324" s="11"/>
      <c r="B2324" s="11"/>
      <c r="C2324" s="11"/>
      <c r="D2324" s="24"/>
      <c r="E2324" s="11"/>
      <c r="F2324" s="24"/>
      <c r="G2324" s="11"/>
    </row>
    <row r="2325" spans="1:7" ht="12.75" hidden="1">
      <c r="A2325" s="11"/>
      <c r="B2325" s="11"/>
      <c r="C2325" s="11"/>
      <c r="D2325" s="24"/>
      <c r="E2325" s="11"/>
      <c r="F2325" s="24"/>
      <c r="G2325" s="11"/>
    </row>
    <row r="2326" spans="1:7" ht="12.75" hidden="1">
      <c r="A2326" s="11"/>
      <c r="B2326" s="11"/>
      <c r="C2326" s="11"/>
      <c r="D2326" s="24"/>
      <c r="E2326" s="11"/>
      <c r="F2326" s="24"/>
      <c r="G2326" s="11"/>
    </row>
    <row r="2327" spans="1:7" ht="12.75" hidden="1">
      <c r="A2327" s="11"/>
      <c r="B2327" s="11"/>
      <c r="C2327" s="11"/>
      <c r="D2327" s="24"/>
      <c r="E2327" s="11"/>
      <c r="F2327" s="24"/>
      <c r="G2327" s="11"/>
    </row>
    <row r="2328" spans="1:7" ht="12.75" hidden="1">
      <c r="A2328" s="11"/>
      <c r="B2328" s="11"/>
      <c r="C2328" s="11"/>
      <c r="D2328" s="24"/>
      <c r="E2328" s="11"/>
      <c r="F2328" s="24"/>
      <c r="G2328" s="11"/>
    </row>
    <row r="2329" spans="1:7" ht="12.75" hidden="1">
      <c r="A2329" s="11"/>
      <c r="B2329" s="11"/>
      <c r="C2329" s="11"/>
      <c r="D2329" s="24"/>
      <c r="E2329" s="11"/>
      <c r="F2329" s="24"/>
      <c r="G2329" s="11"/>
    </row>
    <row r="2330" spans="1:7" ht="12.75" hidden="1">
      <c r="A2330" s="11"/>
      <c r="B2330" s="11"/>
      <c r="C2330" s="11"/>
      <c r="D2330" s="24"/>
      <c r="E2330" s="11"/>
      <c r="F2330" s="24"/>
      <c r="G2330" s="11"/>
    </row>
    <row r="2331" spans="1:7" ht="12.75" hidden="1">
      <c r="A2331" s="11"/>
      <c r="B2331" s="11"/>
      <c r="C2331" s="11"/>
      <c r="D2331" s="24"/>
      <c r="E2331" s="11"/>
      <c r="F2331" s="24"/>
      <c r="G2331" s="11"/>
    </row>
    <row r="2332" spans="1:7" ht="12.75" hidden="1">
      <c r="A2332" s="11"/>
      <c r="B2332" s="11"/>
      <c r="C2332" s="11"/>
      <c r="D2332" s="24"/>
      <c r="E2332" s="11"/>
      <c r="F2332" s="24"/>
      <c r="G2332" s="11"/>
    </row>
    <row r="2333" spans="1:7" ht="12.75" hidden="1">
      <c r="A2333" s="11"/>
      <c r="B2333" s="11"/>
      <c r="C2333" s="11"/>
      <c r="D2333" s="24"/>
      <c r="E2333" s="11"/>
      <c r="F2333" s="24"/>
      <c r="G2333" s="11"/>
    </row>
    <row r="2334" spans="1:7" ht="12.75" hidden="1">
      <c r="A2334" s="11"/>
      <c r="B2334" s="11"/>
      <c r="C2334" s="11"/>
      <c r="D2334" s="24"/>
      <c r="E2334" s="11"/>
      <c r="F2334" s="24"/>
      <c r="G2334" s="11"/>
    </row>
    <row r="2335" spans="1:7" ht="12.75" hidden="1">
      <c r="A2335" s="11"/>
      <c r="B2335" s="11"/>
      <c r="C2335" s="11"/>
      <c r="D2335" s="24"/>
      <c r="E2335" s="11"/>
      <c r="F2335" s="24"/>
      <c r="G2335" s="11"/>
    </row>
    <row r="2336" spans="1:7" ht="12.75" hidden="1">
      <c r="A2336" s="11"/>
      <c r="B2336" s="11"/>
      <c r="C2336" s="11"/>
      <c r="D2336" s="24"/>
      <c r="E2336" s="11"/>
      <c r="F2336" s="24"/>
      <c r="G2336" s="11"/>
    </row>
    <row r="2337" spans="1:7" ht="12.75" hidden="1">
      <c r="A2337" s="11"/>
      <c r="B2337" s="11"/>
      <c r="C2337" s="11"/>
      <c r="D2337" s="24"/>
      <c r="E2337" s="11"/>
      <c r="F2337" s="24"/>
      <c r="G2337" s="11"/>
    </row>
    <row r="2338" spans="1:7" ht="12.75" hidden="1">
      <c r="A2338" s="11"/>
      <c r="B2338" s="11"/>
      <c r="C2338" s="11"/>
      <c r="D2338" s="24"/>
      <c r="E2338" s="11"/>
      <c r="F2338" s="24"/>
      <c r="G2338" s="11"/>
    </row>
    <row r="2339" spans="1:7" ht="12.75" hidden="1">
      <c r="A2339" s="11"/>
      <c r="B2339" s="11"/>
      <c r="C2339" s="11"/>
      <c r="D2339" s="24"/>
      <c r="E2339" s="11"/>
      <c r="F2339" s="24"/>
      <c r="G2339" s="11"/>
    </row>
    <row r="2340" spans="1:7" ht="12.75" hidden="1">
      <c r="A2340" s="11"/>
      <c r="B2340" s="11"/>
      <c r="C2340" s="11"/>
      <c r="D2340" s="24"/>
      <c r="E2340" s="11"/>
      <c r="F2340" s="24"/>
      <c r="G2340" s="11"/>
    </row>
    <row r="2341" spans="1:7" ht="12.75" hidden="1">
      <c r="A2341" s="11"/>
      <c r="B2341" s="11"/>
      <c r="C2341" s="11"/>
      <c r="D2341" s="24"/>
      <c r="E2341" s="11"/>
      <c r="F2341" s="24"/>
      <c r="G2341" s="11"/>
    </row>
    <row r="2342" spans="1:7" ht="12.75" hidden="1">
      <c r="A2342" s="11"/>
      <c r="B2342" s="11"/>
      <c r="C2342" s="11"/>
      <c r="D2342" s="24"/>
      <c r="E2342" s="11"/>
      <c r="F2342" s="24"/>
      <c r="G2342" s="11"/>
    </row>
    <row r="2343" spans="1:7" ht="12.75" hidden="1">
      <c r="A2343" s="11"/>
      <c r="B2343" s="11"/>
      <c r="C2343" s="11"/>
      <c r="D2343" s="24"/>
      <c r="E2343" s="11"/>
      <c r="F2343" s="24"/>
      <c r="G2343" s="11"/>
    </row>
    <row r="2344" spans="1:7" ht="12.75" hidden="1">
      <c r="A2344" s="11"/>
      <c r="B2344" s="11"/>
      <c r="C2344" s="11"/>
      <c r="D2344" s="24"/>
      <c r="E2344" s="11"/>
      <c r="F2344" s="24"/>
      <c r="G2344" s="11"/>
    </row>
    <row r="2345" spans="1:7" ht="12.75" hidden="1">
      <c r="A2345" s="11"/>
      <c r="B2345" s="11"/>
      <c r="C2345" s="11"/>
      <c r="D2345" s="24"/>
      <c r="E2345" s="11"/>
      <c r="F2345" s="24"/>
      <c r="G2345" s="11"/>
    </row>
    <row r="2346" spans="1:7" ht="12.75" hidden="1">
      <c r="A2346" s="11"/>
      <c r="B2346" s="11"/>
      <c r="C2346" s="11"/>
      <c r="D2346" s="24"/>
      <c r="E2346" s="11"/>
      <c r="F2346" s="24"/>
      <c r="G2346" s="11"/>
    </row>
    <row r="2347" spans="1:7" ht="12.75" hidden="1">
      <c r="A2347" s="11"/>
      <c r="B2347" s="11"/>
      <c r="C2347" s="11"/>
      <c r="D2347" s="24"/>
      <c r="E2347" s="11"/>
      <c r="F2347" s="24"/>
      <c r="G2347" s="11"/>
    </row>
    <row r="2348" spans="1:7" ht="12.75" hidden="1">
      <c r="A2348" s="11"/>
      <c r="B2348" s="11"/>
      <c r="C2348" s="11"/>
      <c r="D2348" s="24"/>
      <c r="E2348" s="11"/>
      <c r="F2348" s="24"/>
      <c r="G2348" s="11"/>
    </row>
    <row r="2349" spans="1:7" ht="12.75" hidden="1">
      <c r="A2349" s="11"/>
      <c r="B2349" s="11"/>
      <c r="C2349" s="11"/>
      <c r="D2349" s="24"/>
      <c r="E2349" s="11"/>
      <c r="F2349" s="24"/>
      <c r="G2349" s="11"/>
    </row>
    <row r="2350" spans="1:7" ht="12.75" hidden="1">
      <c r="A2350" s="11"/>
      <c r="B2350" s="11"/>
      <c r="C2350" s="11"/>
      <c r="D2350" s="24"/>
      <c r="E2350" s="11"/>
      <c r="F2350" s="24"/>
      <c r="G2350" s="11"/>
    </row>
    <row r="2351" spans="1:7" ht="12.75" hidden="1">
      <c r="A2351" s="11"/>
      <c r="B2351" s="11"/>
      <c r="C2351" s="11"/>
      <c r="D2351" s="24"/>
      <c r="E2351" s="11"/>
      <c r="F2351" s="24"/>
      <c r="G2351" s="11"/>
    </row>
    <row r="2352" spans="1:7" ht="12.75" hidden="1">
      <c r="A2352" s="11"/>
      <c r="B2352" s="11"/>
      <c r="C2352" s="11"/>
      <c r="D2352" s="24"/>
      <c r="E2352" s="11"/>
      <c r="F2352" s="24"/>
      <c r="G2352" s="11"/>
    </row>
    <row r="2353" spans="1:7" ht="12.75" hidden="1">
      <c r="A2353" s="11"/>
      <c r="B2353" s="11"/>
      <c r="C2353" s="11"/>
      <c r="D2353" s="24"/>
      <c r="E2353" s="11"/>
      <c r="F2353" s="24"/>
      <c r="G2353" s="11"/>
    </row>
    <row r="2354" spans="1:7" ht="12.75" hidden="1">
      <c r="A2354" s="11"/>
      <c r="B2354" s="11"/>
      <c r="C2354" s="11"/>
      <c r="D2354" s="24"/>
      <c r="E2354" s="11"/>
      <c r="F2354" s="24"/>
      <c r="G2354" s="11"/>
    </row>
    <row r="2355" spans="1:7" ht="12.75" hidden="1">
      <c r="A2355" s="11"/>
      <c r="B2355" s="11"/>
      <c r="C2355" s="11"/>
      <c r="D2355" s="24"/>
      <c r="E2355" s="11"/>
      <c r="F2355" s="24"/>
      <c r="G2355" s="11"/>
    </row>
    <row r="2356" spans="1:7" ht="12.75" hidden="1">
      <c r="A2356" s="11"/>
      <c r="B2356" s="11"/>
      <c r="C2356" s="11"/>
      <c r="D2356" s="24"/>
      <c r="E2356" s="11"/>
      <c r="F2356" s="24"/>
      <c r="G2356" s="11"/>
    </row>
    <row r="2357" spans="1:7" ht="12.75" hidden="1">
      <c r="A2357" s="11"/>
      <c r="B2357" s="11"/>
      <c r="C2357" s="11"/>
      <c r="D2357" s="24"/>
      <c r="E2357" s="11"/>
      <c r="F2357" s="24"/>
      <c r="G2357" s="11"/>
    </row>
    <row r="2358" spans="1:7" ht="12.75" hidden="1">
      <c r="A2358" s="11"/>
      <c r="B2358" s="11"/>
      <c r="C2358" s="11"/>
      <c r="D2358" s="24"/>
      <c r="E2358" s="11"/>
      <c r="F2358" s="24"/>
      <c r="G2358" s="11"/>
    </row>
    <row r="2359" spans="1:7" ht="12.75" hidden="1">
      <c r="A2359" s="11"/>
      <c r="B2359" s="11"/>
      <c r="C2359" s="11"/>
      <c r="D2359" s="24"/>
      <c r="E2359" s="11"/>
      <c r="F2359" s="24"/>
      <c r="G2359" s="11"/>
    </row>
    <row r="2360" spans="1:7" ht="12.75" hidden="1">
      <c r="A2360" s="11"/>
      <c r="B2360" s="11"/>
      <c r="C2360" s="11"/>
      <c r="D2360" s="24"/>
      <c r="E2360" s="11"/>
      <c r="F2360" s="24"/>
      <c r="G2360" s="11"/>
    </row>
    <row r="2361" spans="1:7" ht="12.75" hidden="1">
      <c r="A2361" s="11"/>
      <c r="B2361" s="11"/>
      <c r="C2361" s="11"/>
      <c r="D2361" s="24"/>
      <c r="E2361" s="11"/>
      <c r="F2361" s="24"/>
      <c r="G2361" s="11"/>
    </row>
    <row r="2362" spans="1:7" ht="12.75" hidden="1">
      <c r="A2362" s="11"/>
      <c r="B2362" s="11"/>
      <c r="C2362" s="11"/>
      <c r="D2362" s="24"/>
      <c r="E2362" s="11"/>
      <c r="F2362" s="24"/>
      <c r="G2362" s="11"/>
    </row>
    <row r="2363" spans="1:7" ht="12.75" hidden="1">
      <c r="A2363" s="11"/>
      <c r="B2363" s="11"/>
      <c r="C2363" s="11"/>
      <c r="D2363" s="24"/>
      <c r="E2363" s="11"/>
      <c r="F2363" s="24"/>
      <c r="G2363" s="11"/>
    </row>
    <row r="2364" spans="1:7" ht="12.75" hidden="1">
      <c r="A2364" s="11"/>
      <c r="B2364" s="11"/>
      <c r="C2364" s="11"/>
      <c r="D2364" s="24"/>
      <c r="E2364" s="11"/>
      <c r="F2364" s="24"/>
      <c r="G2364" s="11"/>
    </row>
    <row r="2365" spans="1:7" ht="12.75" hidden="1">
      <c r="A2365" s="11"/>
      <c r="B2365" s="11"/>
      <c r="C2365" s="11"/>
      <c r="D2365" s="24"/>
      <c r="E2365" s="11"/>
      <c r="F2365" s="24"/>
      <c r="G2365" s="11"/>
    </row>
    <row r="2366" spans="1:7" ht="12.75" hidden="1">
      <c r="A2366" s="11"/>
      <c r="B2366" s="11"/>
      <c r="C2366" s="11"/>
      <c r="D2366" s="24"/>
      <c r="E2366" s="11"/>
      <c r="F2366" s="24"/>
      <c r="G2366" s="11"/>
    </row>
    <row r="2367" spans="1:7" ht="12.75" hidden="1">
      <c r="A2367" s="11"/>
      <c r="B2367" s="11"/>
      <c r="C2367" s="11"/>
      <c r="D2367" s="24"/>
      <c r="E2367" s="11"/>
      <c r="F2367" s="24"/>
      <c r="G2367" s="11"/>
    </row>
    <row r="2368" spans="1:7" ht="12.75" hidden="1">
      <c r="A2368" s="11"/>
      <c r="B2368" s="11"/>
      <c r="C2368" s="11"/>
      <c r="D2368" s="24"/>
      <c r="E2368" s="11"/>
      <c r="F2368" s="24"/>
      <c r="G2368" s="11"/>
    </row>
    <row r="2369" spans="1:7" ht="12.75" hidden="1">
      <c r="A2369" s="11"/>
      <c r="B2369" s="11"/>
      <c r="C2369" s="11"/>
      <c r="D2369" s="24"/>
      <c r="E2369" s="11"/>
      <c r="F2369" s="24"/>
      <c r="G2369" s="11"/>
    </row>
    <row r="2370" spans="1:7" ht="12.75" hidden="1">
      <c r="A2370" s="11"/>
      <c r="B2370" s="11"/>
      <c r="C2370" s="11"/>
      <c r="D2370" s="24"/>
      <c r="E2370" s="11"/>
      <c r="F2370" s="24"/>
      <c r="G2370" s="11"/>
    </row>
    <row r="2371" spans="1:7" ht="12.75" hidden="1">
      <c r="A2371" s="11"/>
      <c r="B2371" s="11"/>
      <c r="C2371" s="11"/>
      <c r="D2371" s="24"/>
      <c r="E2371" s="11"/>
      <c r="F2371" s="24"/>
      <c r="G2371" s="11"/>
    </row>
    <row r="2372" spans="1:7" ht="12.75" hidden="1">
      <c r="A2372" s="11"/>
      <c r="B2372" s="11"/>
      <c r="C2372" s="11"/>
      <c r="D2372" s="24"/>
      <c r="E2372" s="11"/>
      <c r="F2372" s="24"/>
      <c r="G2372" s="11"/>
    </row>
    <row r="2373" spans="1:7" ht="12.75" hidden="1">
      <c r="A2373" s="11"/>
      <c r="B2373" s="11"/>
      <c r="C2373" s="11"/>
      <c r="D2373" s="24"/>
      <c r="E2373" s="11"/>
      <c r="F2373" s="24"/>
      <c r="G2373" s="11"/>
    </row>
    <row r="2374" spans="1:7" ht="12.75" hidden="1">
      <c r="A2374" s="11"/>
      <c r="B2374" s="11"/>
      <c r="C2374" s="11"/>
      <c r="D2374" s="24"/>
      <c r="E2374" s="11"/>
      <c r="F2374" s="24"/>
      <c r="G2374" s="11"/>
    </row>
    <row r="2375" spans="1:7" ht="12.75" hidden="1">
      <c r="A2375" s="11"/>
      <c r="B2375" s="11"/>
      <c r="C2375" s="11"/>
      <c r="D2375" s="24"/>
      <c r="E2375" s="11"/>
      <c r="F2375" s="24"/>
      <c r="G2375" s="11"/>
    </row>
    <row r="2376" spans="1:7" ht="12.75" hidden="1">
      <c r="A2376" s="11"/>
      <c r="B2376" s="11"/>
      <c r="C2376" s="11"/>
      <c r="D2376" s="24"/>
      <c r="E2376" s="11"/>
      <c r="F2376" s="24"/>
      <c r="G2376" s="11"/>
    </row>
    <row r="2377" spans="1:7" ht="12.75" hidden="1">
      <c r="A2377" s="11"/>
      <c r="B2377" s="11"/>
      <c r="C2377" s="11"/>
      <c r="D2377" s="24"/>
      <c r="E2377" s="11"/>
      <c r="F2377" s="24"/>
      <c r="G2377" s="11"/>
    </row>
    <row r="2378" spans="1:7" ht="12.75" hidden="1">
      <c r="A2378" s="11"/>
      <c r="B2378" s="11"/>
      <c r="C2378" s="11"/>
      <c r="D2378" s="24"/>
      <c r="E2378" s="11"/>
      <c r="F2378" s="24"/>
      <c r="G2378" s="11"/>
    </row>
    <row r="2379" spans="1:7" ht="12.75" hidden="1">
      <c r="A2379" s="11"/>
      <c r="B2379" s="11"/>
      <c r="C2379" s="11"/>
      <c r="D2379" s="24"/>
      <c r="E2379" s="11"/>
      <c r="F2379" s="24"/>
      <c r="G2379" s="11"/>
    </row>
    <row r="2380" spans="1:7" ht="12.75" hidden="1">
      <c r="A2380" s="11"/>
      <c r="B2380" s="11"/>
      <c r="C2380" s="11"/>
      <c r="D2380" s="24"/>
      <c r="E2380" s="11"/>
      <c r="F2380" s="24"/>
      <c r="G2380" s="11"/>
    </row>
    <row r="2381" spans="1:7" ht="12.75" hidden="1">
      <c r="A2381" s="11"/>
      <c r="B2381" s="11"/>
      <c r="C2381" s="11"/>
      <c r="D2381" s="24"/>
      <c r="E2381" s="11"/>
      <c r="F2381" s="24"/>
      <c r="G2381" s="11"/>
    </row>
    <row r="2382" spans="1:7" ht="12.75" hidden="1">
      <c r="A2382" s="11"/>
      <c r="B2382" s="11"/>
      <c r="C2382" s="11"/>
      <c r="D2382" s="24"/>
      <c r="E2382" s="11"/>
      <c r="F2382" s="24"/>
      <c r="G2382" s="11"/>
    </row>
    <row r="2383" spans="1:7" ht="12.75" hidden="1">
      <c r="A2383" s="11"/>
      <c r="B2383" s="11"/>
      <c r="C2383" s="11"/>
      <c r="D2383" s="24"/>
      <c r="E2383" s="11"/>
      <c r="F2383" s="24"/>
      <c r="G2383" s="11"/>
    </row>
    <row r="2384" spans="1:7" ht="12.75" hidden="1">
      <c r="A2384" s="11"/>
      <c r="B2384" s="11"/>
      <c r="C2384" s="11"/>
      <c r="D2384" s="24"/>
      <c r="E2384" s="11"/>
      <c r="F2384" s="24"/>
      <c r="G2384" s="11"/>
    </row>
    <row r="2385" spans="1:7" ht="12.75" hidden="1">
      <c r="A2385" s="11"/>
      <c r="B2385" s="11"/>
      <c r="C2385" s="11"/>
      <c r="D2385" s="24"/>
      <c r="E2385" s="11"/>
      <c r="F2385" s="24"/>
      <c r="G2385" s="11"/>
    </row>
    <row r="2386" spans="1:7" ht="12.75" hidden="1">
      <c r="A2386" s="11"/>
      <c r="B2386" s="11"/>
      <c r="C2386" s="11"/>
      <c r="D2386" s="24"/>
      <c r="E2386" s="11"/>
      <c r="F2386" s="24"/>
      <c r="G2386" s="11"/>
    </row>
    <row r="2387" spans="1:7" ht="12.75" hidden="1">
      <c r="A2387" s="11"/>
      <c r="B2387" s="11"/>
      <c r="C2387" s="11"/>
      <c r="D2387" s="24"/>
      <c r="E2387" s="11"/>
      <c r="F2387" s="24"/>
      <c r="G2387" s="11"/>
    </row>
    <row r="2388" spans="1:7" ht="12.75" hidden="1">
      <c r="A2388" s="11"/>
      <c r="B2388" s="11"/>
      <c r="C2388" s="11"/>
      <c r="D2388" s="24"/>
      <c r="E2388" s="11"/>
      <c r="F2388" s="24"/>
      <c r="G2388" s="11"/>
    </row>
    <row r="2389" spans="1:7" ht="12.75" hidden="1">
      <c r="A2389" s="11"/>
      <c r="B2389" s="11"/>
      <c r="C2389" s="11"/>
      <c r="D2389" s="24"/>
      <c r="E2389" s="11"/>
      <c r="F2389" s="24"/>
      <c r="G2389" s="11"/>
    </row>
    <row r="2390" spans="1:7" ht="12.75" hidden="1">
      <c r="A2390" s="11"/>
      <c r="B2390" s="11"/>
      <c r="C2390" s="11"/>
      <c r="D2390" s="24"/>
      <c r="E2390" s="11"/>
      <c r="F2390" s="24"/>
      <c r="G2390" s="11"/>
    </row>
    <row r="2391" spans="1:7" ht="12.75" hidden="1">
      <c r="A2391" s="11"/>
      <c r="B2391" s="11"/>
      <c r="C2391" s="11"/>
      <c r="D2391" s="24"/>
      <c r="E2391" s="11"/>
      <c r="F2391" s="24"/>
      <c r="G2391" s="11"/>
    </row>
    <row r="2392" spans="1:7" ht="12.75" hidden="1">
      <c r="A2392" s="11"/>
      <c r="B2392" s="11"/>
      <c r="C2392" s="11"/>
      <c r="D2392" s="24"/>
      <c r="E2392" s="11"/>
      <c r="F2392" s="24"/>
      <c r="G2392" s="11"/>
    </row>
    <row r="2393" spans="1:7" ht="12.75" hidden="1">
      <c r="A2393" s="11"/>
      <c r="B2393" s="11"/>
      <c r="C2393" s="11"/>
      <c r="D2393" s="24"/>
      <c r="E2393" s="11"/>
      <c r="F2393" s="24"/>
      <c r="G2393" s="11"/>
    </row>
    <row r="2394" spans="1:7" ht="12.75" hidden="1">
      <c r="A2394" s="11"/>
      <c r="B2394" s="11"/>
      <c r="C2394" s="11"/>
      <c r="D2394" s="24"/>
      <c r="E2394" s="11"/>
      <c r="F2394" s="24"/>
      <c r="G2394" s="11"/>
    </row>
    <row r="2395" spans="1:7" ht="12.75" hidden="1">
      <c r="A2395" s="11"/>
      <c r="B2395" s="11"/>
      <c r="C2395" s="11"/>
      <c r="D2395" s="24"/>
      <c r="E2395" s="11"/>
      <c r="F2395" s="24"/>
      <c r="G2395" s="11"/>
    </row>
    <row r="2396" spans="1:7" ht="12.75" hidden="1">
      <c r="A2396" s="11"/>
      <c r="B2396" s="11"/>
      <c r="C2396" s="11"/>
      <c r="D2396" s="24"/>
      <c r="E2396" s="11"/>
      <c r="F2396" s="24"/>
      <c r="G2396" s="11"/>
    </row>
    <row r="2397" spans="1:7" ht="12.75" hidden="1">
      <c r="A2397" s="11"/>
      <c r="B2397" s="11"/>
      <c r="C2397" s="11"/>
      <c r="D2397" s="24"/>
      <c r="E2397" s="11"/>
      <c r="F2397" s="24"/>
      <c r="G2397" s="11"/>
    </row>
    <row r="2398" spans="1:7" ht="12.75" hidden="1">
      <c r="A2398" s="11"/>
      <c r="B2398" s="11"/>
      <c r="C2398" s="11"/>
      <c r="D2398" s="24"/>
      <c r="E2398" s="11"/>
      <c r="F2398" s="24"/>
      <c r="G2398" s="11"/>
    </row>
    <row r="2399" spans="1:7" ht="12.75" hidden="1">
      <c r="A2399" s="11"/>
      <c r="B2399" s="11"/>
      <c r="C2399" s="11"/>
      <c r="D2399" s="24"/>
      <c r="E2399" s="11"/>
      <c r="F2399" s="24"/>
      <c r="G2399" s="11"/>
    </row>
    <row r="2400" spans="1:7" ht="12.75" hidden="1">
      <c r="A2400" s="11"/>
      <c r="B2400" s="11"/>
      <c r="C2400" s="11"/>
      <c r="D2400" s="24"/>
      <c r="E2400" s="11"/>
      <c r="F2400" s="24"/>
      <c r="G2400" s="11"/>
    </row>
    <row r="2401" spans="1:7" ht="12.75" hidden="1">
      <c r="A2401" s="11"/>
      <c r="B2401" s="11"/>
      <c r="C2401" s="11"/>
      <c r="D2401" s="24"/>
      <c r="E2401" s="11"/>
      <c r="F2401" s="24"/>
      <c r="G2401" s="11"/>
    </row>
    <row r="2402" spans="1:7" ht="12.75" hidden="1">
      <c r="A2402" s="11"/>
      <c r="B2402" s="11"/>
      <c r="C2402" s="11"/>
      <c r="D2402" s="24"/>
      <c r="E2402" s="11"/>
      <c r="F2402" s="24"/>
      <c r="G2402" s="11"/>
    </row>
    <row r="2403" spans="1:7" ht="12.75" hidden="1">
      <c r="A2403" s="11"/>
      <c r="B2403" s="11"/>
      <c r="C2403" s="11"/>
      <c r="D2403" s="24"/>
      <c r="E2403" s="11"/>
      <c r="F2403" s="24"/>
      <c r="G2403" s="11"/>
    </row>
    <row r="2404" spans="1:7" ht="12.75" hidden="1">
      <c r="A2404" s="11"/>
      <c r="B2404" s="11"/>
      <c r="C2404" s="11"/>
      <c r="D2404" s="24"/>
      <c r="E2404" s="11"/>
      <c r="F2404" s="24"/>
      <c r="G2404" s="11"/>
    </row>
    <row r="2405" spans="1:7" ht="12.75" hidden="1">
      <c r="A2405" s="11"/>
      <c r="B2405" s="11"/>
      <c r="C2405" s="11"/>
      <c r="D2405" s="24"/>
      <c r="E2405" s="11"/>
      <c r="F2405" s="24"/>
      <c r="G2405" s="11"/>
    </row>
    <row r="2406" spans="1:7" ht="12.75" hidden="1">
      <c r="A2406" s="11"/>
      <c r="B2406" s="11"/>
      <c r="C2406" s="11"/>
      <c r="D2406" s="24"/>
      <c r="E2406" s="11"/>
      <c r="F2406" s="24"/>
      <c r="G2406" s="11"/>
    </row>
    <row r="2407" spans="1:7" ht="12.75" hidden="1">
      <c r="A2407" s="11"/>
      <c r="B2407" s="11"/>
      <c r="C2407" s="11"/>
      <c r="D2407" s="24"/>
      <c r="E2407" s="11"/>
      <c r="F2407" s="24"/>
      <c r="G2407" s="11"/>
    </row>
    <row r="2408" spans="1:7" ht="12.75" hidden="1">
      <c r="A2408" s="11"/>
      <c r="B2408" s="11"/>
      <c r="C2408" s="11"/>
      <c r="D2408" s="24"/>
      <c r="E2408" s="11"/>
      <c r="F2408" s="24"/>
      <c r="G2408" s="11"/>
    </row>
    <row r="2409" spans="1:7" ht="12.75" hidden="1">
      <c r="A2409" s="11"/>
      <c r="B2409" s="11"/>
      <c r="C2409" s="11"/>
      <c r="D2409" s="24"/>
      <c r="E2409" s="11"/>
      <c r="F2409" s="24"/>
      <c r="G2409" s="11"/>
    </row>
    <row r="2410" spans="1:7" ht="12.75" hidden="1">
      <c r="A2410" s="11"/>
      <c r="B2410" s="11"/>
      <c r="C2410" s="11"/>
      <c r="D2410" s="24"/>
      <c r="E2410" s="11"/>
      <c r="F2410" s="24"/>
      <c r="G2410" s="11"/>
    </row>
    <row r="2411" spans="1:7" ht="12.75" hidden="1">
      <c r="A2411" s="11"/>
      <c r="B2411" s="11"/>
      <c r="C2411" s="11"/>
      <c r="D2411" s="24"/>
      <c r="E2411" s="11"/>
      <c r="F2411" s="24"/>
      <c r="G2411" s="11"/>
    </row>
    <row r="2412" spans="1:7" ht="12.75" hidden="1">
      <c r="A2412" s="11"/>
      <c r="B2412" s="11"/>
      <c r="C2412" s="11"/>
      <c r="D2412" s="24"/>
      <c r="E2412" s="11"/>
      <c r="F2412" s="24"/>
      <c r="G2412" s="11"/>
    </row>
    <row r="2413" spans="1:7" ht="12.75" hidden="1">
      <c r="A2413" s="11"/>
      <c r="B2413" s="11"/>
      <c r="C2413" s="11"/>
      <c r="D2413" s="24"/>
      <c r="E2413" s="11"/>
      <c r="F2413" s="24"/>
      <c r="G2413" s="11"/>
    </row>
    <row r="2414" spans="1:7" ht="12.75" hidden="1">
      <c r="A2414" s="11"/>
      <c r="B2414" s="11"/>
      <c r="C2414" s="11"/>
      <c r="D2414" s="24"/>
      <c r="E2414" s="11"/>
      <c r="F2414" s="24"/>
      <c r="G2414" s="11"/>
    </row>
    <row r="2415" spans="1:7" ht="12.75" hidden="1">
      <c r="A2415" s="11"/>
      <c r="B2415" s="11"/>
      <c r="C2415" s="11"/>
      <c r="D2415" s="24"/>
      <c r="E2415" s="11"/>
      <c r="F2415" s="24"/>
      <c r="G2415" s="11"/>
    </row>
    <row r="2416" spans="1:7" ht="12.75" hidden="1">
      <c r="A2416" s="11"/>
      <c r="B2416" s="11"/>
      <c r="C2416" s="11"/>
      <c r="D2416" s="24"/>
      <c r="E2416" s="11"/>
      <c r="F2416" s="24"/>
      <c r="G2416" s="11"/>
    </row>
    <row r="2417" spans="1:7" ht="12.75" hidden="1">
      <c r="A2417" s="11"/>
      <c r="B2417" s="11"/>
      <c r="C2417" s="11"/>
      <c r="D2417" s="24"/>
      <c r="E2417" s="11"/>
      <c r="F2417" s="24"/>
      <c r="G2417" s="11"/>
    </row>
    <row r="2418" spans="1:7" ht="12.75" hidden="1">
      <c r="A2418" s="11"/>
      <c r="B2418" s="11"/>
      <c r="C2418" s="11"/>
      <c r="D2418" s="24"/>
      <c r="E2418" s="11"/>
      <c r="F2418" s="24"/>
      <c r="G2418" s="11"/>
    </row>
    <row r="2419" spans="1:7" ht="12.75" hidden="1">
      <c r="A2419" s="11"/>
      <c r="B2419" s="11"/>
      <c r="C2419" s="11"/>
      <c r="D2419" s="24"/>
      <c r="E2419" s="11"/>
      <c r="F2419" s="24"/>
      <c r="G2419" s="11"/>
    </row>
    <row r="2420" spans="1:7" ht="12.75" hidden="1">
      <c r="A2420" s="11"/>
      <c r="B2420" s="11"/>
      <c r="C2420" s="11"/>
      <c r="D2420" s="24"/>
      <c r="E2420" s="11"/>
      <c r="F2420" s="24"/>
      <c r="G2420" s="11"/>
    </row>
    <row r="2421" spans="1:7" ht="12.75" hidden="1">
      <c r="A2421" s="11"/>
      <c r="B2421" s="11"/>
      <c r="C2421" s="11"/>
      <c r="D2421" s="24"/>
      <c r="E2421" s="11"/>
      <c r="F2421" s="24"/>
      <c r="G2421" s="11"/>
    </row>
    <row r="2422" spans="1:7" ht="12.75" hidden="1">
      <c r="A2422" s="11"/>
      <c r="B2422" s="11"/>
      <c r="C2422" s="11"/>
      <c r="D2422" s="24"/>
      <c r="E2422" s="11"/>
      <c r="F2422" s="24"/>
      <c r="G2422" s="11"/>
    </row>
    <row r="2423" spans="1:7" ht="12.75" hidden="1">
      <c r="A2423" s="11"/>
      <c r="B2423" s="11"/>
      <c r="C2423" s="11"/>
      <c r="D2423" s="24"/>
      <c r="E2423" s="11"/>
      <c r="F2423" s="24"/>
      <c r="G2423" s="11"/>
    </row>
    <row r="2424" spans="1:7" ht="12.75" hidden="1">
      <c r="A2424" s="11"/>
      <c r="B2424" s="11"/>
      <c r="C2424" s="11"/>
      <c r="D2424" s="24"/>
      <c r="E2424" s="11"/>
      <c r="F2424" s="24"/>
      <c r="G2424" s="11"/>
    </row>
    <row r="2425" spans="1:7" ht="12.75" hidden="1">
      <c r="A2425" s="11"/>
      <c r="B2425" s="11"/>
      <c r="C2425" s="11"/>
      <c r="D2425" s="24"/>
      <c r="E2425" s="11"/>
      <c r="F2425" s="24"/>
      <c r="G2425" s="11"/>
    </row>
    <row r="2426" spans="1:7" ht="12.75" hidden="1">
      <c r="A2426" s="11"/>
      <c r="B2426" s="11"/>
      <c r="C2426" s="11"/>
      <c r="D2426" s="24"/>
      <c r="E2426" s="11"/>
      <c r="F2426" s="24"/>
      <c r="G2426" s="11"/>
    </row>
    <row r="2427" spans="1:7" ht="12.75" hidden="1">
      <c r="A2427" s="11"/>
      <c r="B2427" s="11"/>
      <c r="C2427" s="11"/>
      <c r="D2427" s="24"/>
      <c r="E2427" s="11"/>
      <c r="F2427" s="24"/>
      <c r="G2427" s="11"/>
    </row>
    <row r="2428" spans="1:7" ht="12.75" hidden="1">
      <c r="A2428" s="11"/>
      <c r="B2428" s="11"/>
      <c r="C2428" s="11"/>
      <c r="D2428" s="24"/>
      <c r="E2428" s="11"/>
      <c r="F2428" s="24"/>
      <c r="G2428" s="11"/>
    </row>
    <row r="2429" spans="1:7" ht="12.75" hidden="1">
      <c r="A2429" s="11"/>
      <c r="B2429" s="11"/>
      <c r="C2429" s="11"/>
      <c r="D2429" s="24"/>
      <c r="E2429" s="11"/>
      <c r="F2429" s="24"/>
      <c r="G2429" s="11"/>
    </row>
    <row r="2430" spans="1:7" ht="12.75" hidden="1">
      <c r="A2430" s="11"/>
      <c r="B2430" s="11"/>
      <c r="C2430" s="11"/>
      <c r="D2430" s="24"/>
      <c r="E2430" s="11"/>
      <c r="F2430" s="24"/>
      <c r="G2430" s="11"/>
    </row>
    <row r="2431" spans="1:7" ht="12.75" hidden="1">
      <c r="A2431" s="11"/>
      <c r="B2431" s="11"/>
      <c r="C2431" s="11"/>
      <c r="D2431" s="24"/>
      <c r="E2431" s="11"/>
      <c r="F2431" s="24"/>
      <c r="G2431" s="11"/>
    </row>
    <row r="2432" spans="1:7" ht="12.75" hidden="1">
      <c r="A2432" s="11"/>
      <c r="B2432" s="11"/>
      <c r="C2432" s="11"/>
      <c r="D2432" s="24"/>
      <c r="E2432" s="11"/>
      <c r="F2432" s="24"/>
      <c r="G2432" s="11"/>
    </row>
    <row r="2433" spans="1:7" ht="12.75" hidden="1">
      <c r="A2433" s="11"/>
      <c r="B2433" s="11"/>
      <c r="C2433" s="11"/>
      <c r="D2433" s="24"/>
      <c r="E2433" s="11"/>
      <c r="F2433" s="24"/>
      <c r="G2433" s="11"/>
    </row>
    <row r="2434" spans="1:7" ht="12.75" hidden="1">
      <c r="A2434" s="11"/>
      <c r="B2434" s="11"/>
      <c r="C2434" s="11"/>
      <c r="D2434" s="24"/>
      <c r="E2434" s="11"/>
      <c r="F2434" s="24"/>
      <c r="G2434" s="11"/>
    </row>
    <row r="2435" spans="1:7" ht="12.75" hidden="1">
      <c r="A2435" s="11"/>
      <c r="B2435" s="11"/>
      <c r="C2435" s="11"/>
      <c r="D2435" s="24"/>
      <c r="E2435" s="11"/>
      <c r="F2435" s="24"/>
      <c r="G2435" s="11"/>
    </row>
    <row r="2436" spans="1:7" ht="12.75" hidden="1">
      <c r="A2436" s="11"/>
      <c r="B2436" s="11"/>
      <c r="C2436" s="11"/>
      <c r="D2436" s="24"/>
      <c r="E2436" s="11"/>
      <c r="F2436" s="24"/>
      <c r="G2436" s="11"/>
    </row>
    <row r="2437" spans="1:7" ht="12.75" hidden="1">
      <c r="A2437" s="11"/>
      <c r="B2437" s="11"/>
      <c r="C2437" s="11"/>
      <c r="D2437" s="24"/>
      <c r="E2437" s="11"/>
      <c r="F2437" s="24"/>
      <c r="G2437" s="11"/>
    </row>
    <row r="2438" spans="1:7" ht="12.75" hidden="1">
      <c r="A2438" s="11"/>
      <c r="B2438" s="11"/>
      <c r="C2438" s="11"/>
      <c r="D2438" s="24"/>
      <c r="E2438" s="11"/>
      <c r="F2438" s="24"/>
      <c r="G2438" s="11"/>
    </row>
    <row r="2439" spans="1:7" ht="12.75" hidden="1">
      <c r="A2439" s="11"/>
      <c r="B2439" s="11"/>
      <c r="C2439" s="11"/>
      <c r="D2439" s="24"/>
      <c r="E2439" s="11"/>
      <c r="F2439" s="24"/>
      <c r="G2439" s="11"/>
    </row>
    <row r="2440" spans="1:7" ht="12.75" hidden="1">
      <c r="A2440" s="11"/>
      <c r="B2440" s="11"/>
      <c r="C2440" s="11"/>
      <c r="D2440" s="24"/>
      <c r="E2440" s="11"/>
      <c r="F2440" s="24"/>
      <c r="G2440" s="11"/>
    </row>
    <row r="2441" spans="1:7" ht="12.75" hidden="1">
      <c r="A2441" s="11"/>
      <c r="B2441" s="11"/>
      <c r="C2441" s="11"/>
      <c r="D2441" s="24"/>
      <c r="E2441" s="11"/>
      <c r="F2441" s="24"/>
      <c r="G2441" s="11"/>
    </row>
    <row r="2442" spans="1:7" ht="12.75" hidden="1">
      <c r="A2442" s="11"/>
      <c r="B2442" s="11"/>
      <c r="C2442" s="11"/>
      <c r="D2442" s="24"/>
      <c r="E2442" s="11"/>
      <c r="F2442" s="24"/>
      <c r="G2442" s="11"/>
    </row>
    <row r="2443" spans="1:7" ht="12.75" hidden="1">
      <c r="A2443" s="11"/>
      <c r="B2443" s="11"/>
      <c r="C2443" s="11"/>
      <c r="D2443" s="24"/>
      <c r="E2443" s="11"/>
      <c r="F2443" s="24"/>
      <c r="G2443" s="11"/>
    </row>
    <row r="2444" spans="1:7" ht="12.75" hidden="1">
      <c r="A2444" s="11"/>
      <c r="B2444" s="11"/>
      <c r="C2444" s="11"/>
      <c r="D2444" s="24"/>
      <c r="E2444" s="11"/>
      <c r="F2444" s="24"/>
      <c r="G2444" s="11"/>
    </row>
    <row r="2445" spans="1:7" ht="12.75" hidden="1">
      <c r="A2445" s="11"/>
      <c r="B2445" s="11"/>
      <c r="C2445" s="11"/>
      <c r="D2445" s="24"/>
      <c r="E2445" s="11"/>
      <c r="F2445" s="24"/>
      <c r="G2445" s="11"/>
    </row>
    <row r="2446" spans="1:7" ht="12.75" hidden="1">
      <c r="A2446" s="11"/>
      <c r="B2446" s="11"/>
      <c r="C2446" s="11"/>
      <c r="D2446" s="24"/>
      <c r="E2446" s="11"/>
      <c r="F2446" s="24"/>
      <c r="G2446" s="11"/>
    </row>
    <row r="2447" spans="1:7" ht="12.75" hidden="1">
      <c r="A2447" s="11"/>
      <c r="B2447" s="11"/>
      <c r="C2447" s="11"/>
      <c r="D2447" s="24"/>
      <c r="E2447" s="11"/>
      <c r="F2447" s="24"/>
      <c r="G2447" s="11"/>
    </row>
    <row r="2448" spans="1:7" ht="12.75" hidden="1">
      <c r="A2448" s="11"/>
      <c r="B2448" s="11"/>
      <c r="C2448" s="11"/>
      <c r="D2448" s="24"/>
      <c r="E2448" s="11"/>
      <c r="F2448" s="24"/>
      <c r="G2448" s="11"/>
    </row>
    <row r="2449" spans="1:7" ht="12.75" hidden="1">
      <c r="A2449" s="11"/>
      <c r="B2449" s="11"/>
      <c r="C2449" s="11"/>
      <c r="D2449" s="24"/>
      <c r="E2449" s="11"/>
      <c r="F2449" s="24"/>
      <c r="G2449" s="11"/>
    </row>
    <row r="2450" spans="1:7" ht="12.75" hidden="1">
      <c r="A2450" s="11"/>
      <c r="B2450" s="11"/>
      <c r="C2450" s="11"/>
      <c r="D2450" s="24"/>
      <c r="E2450" s="11"/>
      <c r="F2450" s="24"/>
      <c r="G2450" s="11"/>
    </row>
    <row r="2451" spans="1:7" ht="12.75" hidden="1">
      <c r="A2451" s="11"/>
      <c r="B2451" s="11"/>
      <c r="C2451" s="11"/>
      <c r="D2451" s="24"/>
      <c r="E2451" s="11"/>
      <c r="F2451" s="24"/>
      <c r="G2451" s="11"/>
    </row>
    <row r="2452" spans="1:7" ht="12.75" hidden="1">
      <c r="A2452" s="11"/>
      <c r="B2452" s="11"/>
      <c r="C2452" s="11"/>
      <c r="D2452" s="24"/>
      <c r="E2452" s="11"/>
      <c r="F2452" s="24"/>
      <c r="G2452" s="11"/>
    </row>
    <row r="2453" spans="1:7" ht="12.75" hidden="1">
      <c r="A2453" s="11"/>
      <c r="B2453" s="11"/>
      <c r="C2453" s="11"/>
      <c r="D2453" s="24"/>
      <c r="E2453" s="11"/>
      <c r="F2453" s="24"/>
      <c r="G2453" s="11"/>
    </row>
    <row r="2454" spans="1:7" ht="12.75" hidden="1">
      <c r="A2454" s="11"/>
      <c r="B2454" s="11"/>
      <c r="C2454" s="11"/>
      <c r="D2454" s="24"/>
      <c r="E2454" s="11"/>
      <c r="F2454" s="24"/>
      <c r="G2454" s="11"/>
    </row>
    <row r="2455" spans="1:7" ht="12.75" hidden="1">
      <c r="A2455" s="11"/>
      <c r="B2455" s="11"/>
      <c r="C2455" s="11"/>
      <c r="D2455" s="24"/>
      <c r="E2455" s="11"/>
      <c r="F2455" s="24"/>
      <c r="G2455" s="11"/>
    </row>
    <row r="2456" spans="1:7" ht="12.75" hidden="1">
      <c r="A2456" s="11"/>
      <c r="B2456" s="11"/>
      <c r="C2456" s="11"/>
      <c r="D2456" s="24"/>
      <c r="E2456" s="11"/>
      <c r="F2456" s="24"/>
      <c r="G2456" s="11"/>
    </row>
    <row r="2457" spans="1:7" ht="12.75" hidden="1">
      <c r="A2457" s="11"/>
      <c r="B2457" s="11"/>
      <c r="C2457" s="11"/>
      <c r="D2457" s="24"/>
      <c r="E2457" s="11"/>
      <c r="F2457" s="24"/>
      <c r="G2457" s="11"/>
    </row>
    <row r="2458" spans="1:7" ht="12.75" hidden="1">
      <c r="A2458" s="11"/>
      <c r="B2458" s="11"/>
      <c r="C2458" s="11"/>
      <c r="D2458" s="24"/>
      <c r="E2458" s="11"/>
      <c r="F2458" s="24"/>
      <c r="G2458" s="11"/>
    </row>
    <row r="2459" spans="1:7" ht="12.75" hidden="1">
      <c r="A2459" s="11"/>
      <c r="B2459" s="11"/>
      <c r="C2459" s="11"/>
      <c r="D2459" s="24"/>
      <c r="E2459" s="11"/>
      <c r="F2459" s="24"/>
      <c r="G2459" s="11"/>
    </row>
    <row r="2460" spans="1:7" ht="12.75" hidden="1">
      <c r="A2460" s="11"/>
      <c r="B2460" s="11"/>
      <c r="C2460" s="11"/>
      <c r="D2460" s="24"/>
      <c r="E2460" s="11"/>
      <c r="F2460" s="24"/>
      <c r="G2460" s="11"/>
    </row>
    <row r="2461" spans="1:7" ht="12.75" hidden="1">
      <c r="A2461" s="11"/>
      <c r="B2461" s="11"/>
      <c r="C2461" s="11"/>
      <c r="D2461" s="24"/>
      <c r="E2461" s="11"/>
      <c r="F2461" s="24"/>
      <c r="G2461" s="11"/>
    </row>
    <row r="2462" spans="1:7" ht="12.75" hidden="1">
      <c r="A2462" s="11"/>
      <c r="B2462" s="11"/>
      <c r="C2462" s="11"/>
      <c r="D2462" s="24"/>
      <c r="E2462" s="11"/>
      <c r="F2462" s="24"/>
      <c r="G2462" s="11"/>
    </row>
    <row r="2463" spans="1:7" ht="12.75" hidden="1">
      <c r="A2463" s="11"/>
      <c r="B2463" s="11"/>
      <c r="C2463" s="11"/>
      <c r="D2463" s="24"/>
      <c r="E2463" s="11"/>
      <c r="F2463" s="24"/>
      <c r="G2463" s="11"/>
    </row>
    <row r="2464" spans="1:7" ht="12.75" hidden="1">
      <c r="A2464" s="11"/>
      <c r="B2464" s="11"/>
      <c r="C2464" s="11"/>
      <c r="D2464" s="24"/>
      <c r="E2464" s="11"/>
      <c r="F2464" s="24"/>
      <c r="G2464" s="11"/>
    </row>
    <row r="2465" spans="1:7" ht="12.75" hidden="1">
      <c r="A2465" s="11"/>
      <c r="B2465" s="11"/>
      <c r="C2465" s="11"/>
      <c r="D2465" s="24"/>
      <c r="E2465" s="11"/>
      <c r="F2465" s="24"/>
      <c r="G2465" s="11"/>
    </row>
    <row r="2466" spans="1:7" ht="12.75" hidden="1">
      <c r="A2466" s="11"/>
      <c r="B2466" s="11"/>
      <c r="C2466" s="11"/>
      <c r="D2466" s="24"/>
      <c r="E2466" s="11"/>
      <c r="F2466" s="24"/>
      <c r="G2466" s="11"/>
    </row>
    <row r="2467" spans="1:7" ht="12.75" hidden="1">
      <c r="A2467" s="11"/>
      <c r="B2467" s="11"/>
      <c r="C2467" s="11"/>
      <c r="D2467" s="24"/>
      <c r="E2467" s="11"/>
      <c r="F2467" s="24"/>
      <c r="G2467" s="11"/>
    </row>
    <row r="2468" spans="1:7" ht="12.75" hidden="1">
      <c r="A2468" s="11"/>
      <c r="B2468" s="11"/>
      <c r="C2468" s="11"/>
      <c r="D2468" s="24"/>
      <c r="E2468" s="11"/>
      <c r="F2468" s="24"/>
      <c r="G2468" s="11"/>
    </row>
    <row r="2469" spans="1:7" ht="12.75" hidden="1">
      <c r="A2469" s="11"/>
      <c r="B2469" s="11"/>
      <c r="C2469" s="11"/>
      <c r="D2469" s="24"/>
      <c r="E2469" s="11"/>
      <c r="F2469" s="24"/>
      <c r="G2469" s="11"/>
    </row>
    <row r="2470" spans="1:7" ht="12.75" hidden="1">
      <c r="A2470" s="11"/>
      <c r="B2470" s="11"/>
      <c r="C2470" s="11"/>
      <c r="D2470" s="24"/>
      <c r="E2470" s="11"/>
      <c r="F2470" s="24"/>
      <c r="G2470" s="11"/>
    </row>
    <row r="2471" spans="1:7" ht="12.75" hidden="1">
      <c r="A2471" s="11"/>
      <c r="B2471" s="11"/>
      <c r="C2471" s="11"/>
      <c r="D2471" s="24"/>
      <c r="E2471" s="11"/>
      <c r="F2471" s="24"/>
      <c r="G2471" s="11"/>
    </row>
    <row r="2472" spans="1:7" ht="12.75" hidden="1">
      <c r="A2472" s="11"/>
      <c r="B2472" s="11"/>
      <c r="C2472" s="11"/>
      <c r="D2472" s="24"/>
      <c r="E2472" s="11"/>
      <c r="F2472" s="24"/>
      <c r="G2472" s="11"/>
    </row>
    <row r="2473" spans="1:7" ht="12.75" hidden="1">
      <c r="A2473" s="11"/>
      <c r="B2473" s="11"/>
      <c r="C2473" s="11"/>
      <c r="D2473" s="24"/>
      <c r="E2473" s="11"/>
      <c r="F2473" s="24"/>
      <c r="G2473" s="11"/>
    </row>
    <row r="2474" spans="1:7" ht="12.75" hidden="1">
      <c r="A2474" s="11"/>
      <c r="B2474" s="11"/>
      <c r="C2474" s="11"/>
      <c r="D2474" s="24"/>
      <c r="E2474" s="11"/>
      <c r="F2474" s="24"/>
      <c r="G2474" s="11"/>
    </row>
    <row r="2475" spans="1:7" ht="12.75" hidden="1">
      <c r="A2475" s="11"/>
      <c r="B2475" s="11"/>
      <c r="C2475" s="11"/>
      <c r="D2475" s="24"/>
      <c r="E2475" s="11"/>
      <c r="F2475" s="24"/>
      <c r="G2475" s="11"/>
    </row>
    <row r="2476" spans="1:7" ht="12.75" hidden="1">
      <c r="A2476" s="11"/>
      <c r="B2476" s="11"/>
      <c r="C2476" s="11"/>
      <c r="D2476" s="24"/>
      <c r="E2476" s="11"/>
      <c r="F2476" s="24"/>
      <c r="G2476" s="11"/>
    </row>
    <row r="2477" spans="1:7" ht="12.75" hidden="1">
      <c r="A2477" s="11"/>
      <c r="B2477" s="11"/>
      <c r="C2477" s="11"/>
      <c r="D2477" s="24"/>
      <c r="E2477" s="11"/>
      <c r="F2477" s="24"/>
      <c r="G2477" s="11"/>
    </row>
    <row r="2478" spans="1:7" ht="12.75" hidden="1">
      <c r="A2478" s="11"/>
      <c r="B2478" s="11"/>
      <c r="C2478" s="11"/>
      <c r="D2478" s="24"/>
      <c r="E2478" s="11"/>
      <c r="F2478" s="24"/>
      <c r="G2478" s="11"/>
    </row>
    <row r="2479" spans="1:7" ht="12.75" hidden="1">
      <c r="A2479" s="11"/>
      <c r="B2479" s="11"/>
      <c r="C2479" s="11"/>
      <c r="D2479" s="24"/>
      <c r="E2479" s="11"/>
      <c r="F2479" s="24"/>
      <c r="G2479" s="11"/>
    </row>
    <row r="2480" spans="1:7" ht="12.75" hidden="1">
      <c r="A2480" s="11"/>
      <c r="B2480" s="11"/>
      <c r="C2480" s="11"/>
      <c r="D2480" s="24"/>
      <c r="E2480" s="11"/>
      <c r="F2480" s="24"/>
      <c r="G2480" s="11"/>
    </row>
    <row r="2481" spans="1:7" ht="12.75" hidden="1">
      <c r="A2481" s="11"/>
      <c r="B2481" s="11"/>
      <c r="C2481" s="11"/>
      <c r="D2481" s="24"/>
      <c r="E2481" s="11"/>
      <c r="F2481" s="24"/>
      <c r="G2481" s="11"/>
    </row>
    <row r="2482" spans="1:7" ht="12.75" hidden="1">
      <c r="A2482" s="11"/>
      <c r="B2482" s="11"/>
      <c r="C2482" s="11"/>
      <c r="D2482" s="24"/>
      <c r="E2482" s="11"/>
      <c r="F2482" s="24"/>
      <c r="G2482" s="11"/>
    </row>
    <row r="2483" spans="1:7" ht="12.75" hidden="1">
      <c r="A2483" s="11"/>
      <c r="B2483" s="11"/>
      <c r="C2483" s="11"/>
      <c r="D2483" s="24"/>
      <c r="E2483" s="11"/>
      <c r="F2483" s="24"/>
      <c r="G2483" s="11"/>
    </row>
    <row r="2484" spans="1:7" ht="12.75" hidden="1">
      <c r="A2484" s="11"/>
      <c r="B2484" s="11"/>
      <c r="C2484" s="11"/>
      <c r="D2484" s="24"/>
      <c r="E2484" s="11"/>
      <c r="F2484" s="24"/>
      <c r="G2484" s="11"/>
    </row>
    <row r="2485" spans="1:7" ht="12.75" hidden="1">
      <c r="A2485" s="11"/>
      <c r="B2485" s="11"/>
      <c r="C2485" s="11"/>
      <c r="D2485" s="24"/>
      <c r="E2485" s="11"/>
      <c r="F2485" s="24"/>
      <c r="G2485" s="11"/>
    </row>
    <row r="2486" spans="1:7" ht="12.75" hidden="1">
      <c r="A2486" s="11"/>
      <c r="B2486" s="11"/>
      <c r="C2486" s="11"/>
      <c r="D2486" s="24"/>
      <c r="E2486" s="11"/>
      <c r="F2486" s="24"/>
      <c r="G2486" s="11"/>
    </row>
    <row r="2487" spans="1:7" ht="12.75" hidden="1">
      <c r="A2487" s="11"/>
      <c r="B2487" s="11"/>
      <c r="C2487" s="11"/>
      <c r="D2487" s="24"/>
      <c r="E2487" s="11"/>
      <c r="F2487" s="24"/>
      <c r="G2487" s="11"/>
    </row>
    <row r="2488" spans="1:7" ht="12.75" hidden="1">
      <c r="A2488" s="11"/>
      <c r="B2488" s="11"/>
      <c r="C2488" s="11"/>
      <c r="D2488" s="24"/>
      <c r="E2488" s="11"/>
      <c r="F2488" s="24"/>
      <c r="G2488" s="11"/>
    </row>
    <row r="2489" spans="1:7" ht="12.75" hidden="1">
      <c r="A2489" s="11"/>
      <c r="B2489" s="11"/>
      <c r="C2489" s="11"/>
      <c r="D2489" s="24"/>
      <c r="E2489" s="11"/>
      <c r="F2489" s="24"/>
      <c r="G2489" s="11"/>
    </row>
    <row r="2490" spans="1:7" ht="12.75" hidden="1">
      <c r="A2490" s="11"/>
      <c r="B2490" s="11"/>
      <c r="C2490" s="11"/>
      <c r="D2490" s="24"/>
      <c r="E2490" s="11"/>
      <c r="F2490" s="24"/>
      <c r="G2490" s="11"/>
    </row>
    <row r="2491" spans="1:7" ht="12.75" hidden="1">
      <c r="A2491" s="11"/>
      <c r="B2491" s="11"/>
      <c r="C2491" s="11"/>
      <c r="D2491" s="24"/>
      <c r="E2491" s="11"/>
      <c r="F2491" s="24"/>
      <c r="G2491" s="11"/>
    </row>
    <row r="2492" spans="1:7" ht="12.75" hidden="1">
      <c r="A2492" s="11"/>
      <c r="B2492" s="11"/>
      <c r="C2492" s="11"/>
      <c r="D2492" s="24"/>
      <c r="E2492" s="11"/>
      <c r="F2492" s="24"/>
      <c r="G2492" s="11"/>
    </row>
    <row r="2493" spans="1:7" ht="12.75" hidden="1">
      <c r="A2493" s="11"/>
      <c r="B2493" s="11"/>
      <c r="C2493" s="11"/>
      <c r="D2493" s="24"/>
      <c r="E2493" s="11"/>
      <c r="F2493" s="24"/>
      <c r="G2493" s="11"/>
    </row>
    <row r="2494" spans="1:7" ht="12.75" hidden="1">
      <c r="A2494" s="11"/>
      <c r="B2494" s="11"/>
      <c r="C2494" s="11"/>
      <c r="D2494" s="24"/>
      <c r="E2494" s="11"/>
      <c r="F2494" s="24"/>
      <c r="G2494" s="11"/>
    </row>
    <row r="2495" spans="1:7" ht="12.75" hidden="1">
      <c r="A2495" s="11"/>
      <c r="B2495" s="11"/>
      <c r="C2495" s="11"/>
      <c r="D2495" s="24"/>
      <c r="E2495" s="11"/>
      <c r="F2495" s="24"/>
      <c r="G2495" s="11"/>
    </row>
    <row r="2496" spans="1:7" ht="12.75" hidden="1">
      <c r="A2496" s="11"/>
      <c r="B2496" s="11"/>
      <c r="C2496" s="11"/>
      <c r="D2496" s="24"/>
      <c r="E2496" s="11"/>
      <c r="F2496" s="24"/>
      <c r="G2496" s="11"/>
    </row>
    <row r="2497" spans="1:7" ht="12.75" hidden="1">
      <c r="A2497" s="11"/>
      <c r="B2497" s="11"/>
      <c r="C2497" s="11"/>
      <c r="D2497" s="24"/>
      <c r="E2497" s="11"/>
      <c r="F2497" s="24"/>
      <c r="G2497" s="11"/>
    </row>
    <row r="2498" spans="1:7" ht="12.75" hidden="1">
      <c r="A2498" s="11"/>
      <c r="B2498" s="11"/>
      <c r="C2498" s="11"/>
      <c r="D2498" s="24"/>
      <c r="E2498" s="11"/>
      <c r="F2498" s="24"/>
      <c r="G2498" s="11"/>
    </row>
    <row r="2499" spans="1:7" ht="12.75" hidden="1">
      <c r="A2499" s="11"/>
      <c r="B2499" s="11"/>
      <c r="C2499" s="11"/>
      <c r="D2499" s="24"/>
      <c r="E2499" s="11"/>
      <c r="F2499" s="24"/>
      <c r="G2499" s="11"/>
    </row>
    <row r="2500" spans="1:7" ht="12.75" hidden="1">
      <c r="A2500" s="11"/>
      <c r="B2500" s="11"/>
      <c r="C2500" s="11"/>
      <c r="D2500" s="24"/>
      <c r="E2500" s="11"/>
      <c r="F2500" s="24"/>
      <c r="G2500" s="11"/>
    </row>
    <row r="2501" spans="1:7" ht="12.75" hidden="1">
      <c r="A2501" s="11"/>
      <c r="B2501" s="11"/>
      <c r="C2501" s="11"/>
      <c r="D2501" s="24"/>
      <c r="E2501" s="11"/>
      <c r="F2501" s="24"/>
      <c r="G2501" s="11"/>
    </row>
    <row r="2502" spans="1:7" ht="12.75" hidden="1">
      <c r="A2502" s="11"/>
      <c r="B2502" s="11"/>
      <c r="C2502" s="11"/>
      <c r="D2502" s="24"/>
      <c r="E2502" s="11"/>
      <c r="F2502" s="24"/>
      <c r="G2502" s="11"/>
    </row>
    <row r="2503" spans="1:7" ht="12.75" hidden="1">
      <c r="A2503" s="11"/>
      <c r="B2503" s="11"/>
      <c r="C2503" s="11"/>
      <c r="D2503" s="24"/>
      <c r="E2503" s="11"/>
      <c r="F2503" s="24"/>
      <c r="G2503" s="11"/>
    </row>
    <row r="2504" spans="1:7" ht="12.75" hidden="1">
      <c r="A2504" s="11"/>
      <c r="B2504" s="11"/>
      <c r="C2504" s="11"/>
      <c r="D2504" s="24"/>
      <c r="E2504" s="11"/>
      <c r="F2504" s="24"/>
      <c r="G2504" s="11"/>
    </row>
    <row r="2505" spans="1:7" ht="12.75" hidden="1">
      <c r="A2505" s="11"/>
      <c r="B2505" s="11"/>
      <c r="C2505" s="11"/>
      <c r="D2505" s="24"/>
      <c r="E2505" s="11"/>
      <c r="F2505" s="24"/>
      <c r="G2505" s="11"/>
    </row>
    <row r="2506" spans="1:7" ht="12.75" hidden="1">
      <c r="A2506" s="11"/>
      <c r="B2506" s="11"/>
      <c r="C2506" s="11"/>
      <c r="D2506" s="24"/>
      <c r="E2506" s="11"/>
      <c r="F2506" s="24"/>
      <c r="G2506" s="11"/>
    </row>
    <row r="2507" spans="1:7" ht="12.75" hidden="1">
      <c r="A2507" s="11"/>
      <c r="B2507" s="11"/>
      <c r="C2507" s="11"/>
      <c r="D2507" s="24"/>
      <c r="E2507" s="11"/>
      <c r="F2507" s="24"/>
      <c r="G2507" s="11"/>
    </row>
    <row r="2508" spans="1:7" ht="12.75" hidden="1">
      <c r="A2508" s="11"/>
      <c r="B2508" s="11"/>
      <c r="C2508" s="11"/>
      <c r="D2508" s="24"/>
      <c r="E2508" s="11"/>
      <c r="F2508" s="24"/>
      <c r="G2508" s="11"/>
    </row>
    <row r="2509" spans="1:7" ht="12.75" hidden="1">
      <c r="A2509" s="11"/>
      <c r="B2509" s="11"/>
      <c r="C2509" s="11"/>
      <c r="D2509" s="24"/>
      <c r="E2509" s="11"/>
      <c r="F2509" s="24"/>
      <c r="G2509" s="11"/>
    </row>
    <row r="2510" spans="1:7" ht="12.75" hidden="1">
      <c r="A2510" s="11"/>
      <c r="B2510" s="11"/>
      <c r="C2510" s="11"/>
      <c r="D2510" s="24"/>
      <c r="E2510" s="11"/>
      <c r="F2510" s="24"/>
      <c r="G2510" s="11"/>
    </row>
    <row r="2511" spans="1:7" ht="12.75" hidden="1">
      <c r="A2511" s="11"/>
      <c r="B2511" s="11"/>
      <c r="C2511" s="11"/>
      <c r="D2511" s="24"/>
      <c r="E2511" s="11"/>
      <c r="F2511" s="24"/>
      <c r="G2511" s="11"/>
    </row>
    <row r="2512" spans="1:7" ht="12.75" hidden="1">
      <c r="A2512" s="11"/>
      <c r="B2512" s="11"/>
      <c r="C2512" s="11"/>
      <c r="D2512" s="24"/>
      <c r="E2512" s="11"/>
      <c r="F2512" s="24"/>
      <c r="G2512" s="11"/>
    </row>
    <row r="2513" spans="1:7" ht="12.75" hidden="1">
      <c r="A2513" s="11"/>
      <c r="B2513" s="11"/>
      <c r="C2513" s="11"/>
      <c r="D2513" s="24"/>
      <c r="E2513" s="11"/>
      <c r="F2513" s="24"/>
      <c r="G2513" s="11"/>
    </row>
    <row r="2514" spans="1:7" ht="12.75" hidden="1">
      <c r="A2514" s="11"/>
      <c r="B2514" s="11"/>
      <c r="C2514" s="11"/>
      <c r="D2514" s="24"/>
      <c r="E2514" s="11"/>
      <c r="F2514" s="24"/>
      <c r="G2514" s="11"/>
    </row>
    <row r="2515" spans="1:7" ht="12.75" hidden="1">
      <c r="A2515" s="11"/>
      <c r="B2515" s="11"/>
      <c r="C2515" s="11"/>
      <c r="D2515" s="24"/>
      <c r="E2515" s="11"/>
      <c r="F2515" s="24"/>
      <c r="G2515" s="11"/>
    </row>
    <row r="2516" spans="1:7" ht="12.75" hidden="1">
      <c r="A2516" s="11"/>
      <c r="B2516" s="11"/>
      <c r="C2516" s="11"/>
      <c r="D2516" s="24"/>
      <c r="E2516" s="11"/>
      <c r="F2516" s="24"/>
      <c r="G2516" s="11"/>
    </row>
    <row r="2517" spans="1:7" ht="12.75" hidden="1">
      <c r="A2517" s="11"/>
      <c r="B2517" s="11"/>
      <c r="C2517" s="11"/>
      <c r="D2517" s="24"/>
      <c r="E2517" s="11"/>
      <c r="F2517" s="24"/>
      <c r="G2517" s="11"/>
    </row>
    <row r="2518" spans="1:7" ht="12.75" hidden="1">
      <c r="A2518" s="11"/>
      <c r="B2518" s="11"/>
      <c r="C2518" s="11"/>
      <c r="D2518" s="24"/>
      <c r="E2518" s="11"/>
      <c r="F2518" s="24"/>
      <c r="G2518" s="11"/>
    </row>
    <row r="2519" spans="1:7" ht="12.75" hidden="1">
      <c r="A2519" s="11"/>
      <c r="B2519" s="11"/>
      <c r="C2519" s="11"/>
      <c r="D2519" s="24"/>
      <c r="E2519" s="11"/>
      <c r="F2519" s="24"/>
      <c r="G2519" s="11"/>
    </row>
    <row r="2520" spans="1:7" ht="12.75" hidden="1">
      <c r="A2520" s="11"/>
      <c r="B2520" s="11"/>
      <c r="C2520" s="11"/>
      <c r="D2520" s="24"/>
      <c r="E2520" s="11"/>
      <c r="F2520" s="24"/>
      <c r="G2520" s="11"/>
    </row>
    <row r="2521" spans="1:7" ht="12.75" hidden="1">
      <c r="A2521" s="11"/>
      <c r="B2521" s="11"/>
      <c r="C2521" s="11"/>
      <c r="D2521" s="24"/>
      <c r="E2521" s="11"/>
      <c r="F2521" s="24"/>
      <c r="G2521" s="11"/>
    </row>
    <row r="2522" spans="1:7" ht="12.75" hidden="1">
      <c r="A2522" s="11"/>
      <c r="B2522" s="11"/>
      <c r="C2522" s="11"/>
      <c r="D2522" s="24"/>
      <c r="E2522" s="11"/>
      <c r="F2522" s="24"/>
      <c r="G2522" s="11"/>
    </row>
    <row r="2523" spans="1:7" ht="12.75" hidden="1">
      <c r="A2523" s="11"/>
      <c r="B2523" s="11"/>
      <c r="C2523" s="11"/>
      <c r="D2523" s="24"/>
      <c r="E2523" s="11"/>
      <c r="F2523" s="24"/>
      <c r="G2523" s="11"/>
    </row>
    <row r="2524" spans="1:7" ht="12.75" hidden="1">
      <c r="A2524" s="11"/>
      <c r="B2524" s="11"/>
      <c r="C2524" s="11"/>
      <c r="D2524" s="24"/>
      <c r="E2524" s="11"/>
      <c r="F2524" s="24"/>
      <c r="G2524" s="11"/>
    </row>
    <row r="2525" spans="1:7" ht="12.75" hidden="1">
      <c r="A2525" s="11"/>
      <c r="B2525" s="11"/>
      <c r="C2525" s="11"/>
      <c r="D2525" s="24"/>
      <c r="E2525" s="11"/>
      <c r="F2525" s="24"/>
      <c r="G2525" s="11"/>
    </row>
    <row r="2526" spans="1:7" ht="12.75" hidden="1">
      <c r="A2526" s="11"/>
      <c r="B2526" s="11"/>
      <c r="C2526" s="11"/>
      <c r="E2526" s="11"/>
      <c r="F2526" s="24"/>
      <c r="G2526" s="11"/>
    </row>
    <row r="2527" spans="1:7" ht="12.75" hidden="1">
      <c r="A2527" s="11"/>
      <c r="B2527" s="11"/>
      <c r="C2527" s="11"/>
      <c r="E2527" s="11"/>
      <c r="F2527" s="24"/>
      <c r="G2527" s="11"/>
    </row>
    <row r="2528" spans="1:7" ht="12.75" hidden="1">
      <c r="A2528" s="11"/>
      <c r="B2528" s="11"/>
      <c r="C2528" s="11"/>
      <c r="E2528" s="11"/>
      <c r="F2528" s="24"/>
      <c r="G2528" s="11"/>
    </row>
    <row r="2529" spans="1:7" ht="12.75" hidden="1">
      <c r="A2529" s="11"/>
      <c r="B2529" s="11"/>
      <c r="C2529" s="11"/>
      <c r="E2529" s="11"/>
      <c r="F2529" s="24"/>
      <c r="G2529" s="11"/>
    </row>
    <row r="2530" spans="1:7" ht="12.75" hidden="1">
      <c r="A2530" s="11"/>
      <c r="B2530" s="11"/>
      <c r="C2530" s="11"/>
      <c r="E2530" s="11"/>
      <c r="F2530" s="24"/>
      <c r="G2530" s="11"/>
    </row>
    <row r="2531" spans="1:7" ht="12.75" hidden="1">
      <c r="A2531" s="11"/>
      <c r="B2531" s="11"/>
      <c r="C2531" s="11"/>
      <c r="E2531" s="11"/>
      <c r="F2531" s="24"/>
      <c r="G2531" s="11"/>
    </row>
    <row r="2532" spans="1:7" ht="12.75" hidden="1">
      <c r="A2532" s="11"/>
      <c r="B2532" s="11"/>
      <c r="C2532" s="11"/>
      <c r="E2532" s="11"/>
      <c r="F2532" s="24"/>
      <c r="G2532" s="11"/>
    </row>
    <row r="2533" spans="1:7" ht="12.75" hidden="1">
      <c r="A2533" s="11"/>
      <c r="B2533" s="11"/>
      <c r="C2533" s="11"/>
      <c r="E2533" s="11"/>
      <c r="F2533" s="24"/>
      <c r="G2533" s="11"/>
    </row>
    <row r="2534" spans="1:7" ht="12.75" hidden="1">
      <c r="A2534" s="11"/>
      <c r="B2534" s="11"/>
      <c r="C2534" s="11"/>
      <c r="E2534" s="11"/>
      <c r="F2534" s="24"/>
      <c r="G2534" s="11"/>
    </row>
    <row r="2535" spans="1:7" ht="12.75" hidden="1">
      <c r="A2535" s="11"/>
      <c r="B2535" s="11"/>
      <c r="C2535" s="11"/>
      <c r="E2535" s="11"/>
      <c r="F2535" s="24"/>
      <c r="G2535" s="11"/>
    </row>
    <row r="2536" spans="1:7" ht="12.75" hidden="1">
      <c r="A2536" s="11"/>
      <c r="B2536" s="11"/>
      <c r="C2536" s="11"/>
      <c r="E2536" s="11"/>
      <c r="F2536" s="24"/>
      <c r="G2536" s="11"/>
    </row>
    <row r="2537" spans="1:7" ht="12.75" hidden="1">
      <c r="A2537" s="11"/>
      <c r="B2537" s="11"/>
      <c r="C2537" s="11"/>
      <c r="E2537" s="11"/>
      <c r="F2537" s="24"/>
      <c r="G2537" s="11"/>
    </row>
    <row r="2538" spans="1:7" ht="12.75" hidden="1">
      <c r="A2538" s="11"/>
      <c r="B2538" s="11"/>
      <c r="C2538" s="11"/>
      <c r="E2538" s="11"/>
      <c r="F2538" s="24"/>
      <c r="G2538" s="11"/>
    </row>
    <row r="2539" spans="1:7" ht="12.75" hidden="1">
      <c r="A2539" s="11"/>
      <c r="B2539" s="11"/>
      <c r="C2539" s="11"/>
      <c r="E2539" s="11"/>
      <c r="F2539" s="24"/>
      <c r="G2539" s="11"/>
    </row>
    <row r="2540" spans="1:7" ht="12.75" hidden="1">
      <c r="A2540" s="11"/>
      <c r="B2540" s="11"/>
      <c r="C2540" s="11"/>
      <c r="E2540" s="11"/>
      <c r="F2540" s="24"/>
      <c r="G2540" s="11"/>
    </row>
    <row r="2541" spans="1:7" ht="12.75" hidden="1">
      <c r="A2541" s="11"/>
      <c r="B2541" s="11"/>
      <c r="C2541" s="11"/>
      <c r="E2541" s="11"/>
      <c r="F2541" s="24"/>
      <c r="G2541" s="11"/>
    </row>
    <row r="2542" spans="1:7" ht="12.75" hidden="1">
      <c r="A2542" s="11"/>
      <c r="B2542" s="11"/>
      <c r="C2542" s="11"/>
      <c r="E2542" s="11"/>
      <c r="F2542" s="24"/>
      <c r="G2542" s="11"/>
    </row>
    <row r="2543" spans="1:7" ht="12.75" hidden="1">
      <c r="A2543" s="11"/>
      <c r="B2543" s="11"/>
      <c r="C2543" s="11"/>
      <c r="E2543" s="11"/>
      <c r="F2543" s="24"/>
      <c r="G2543" s="11"/>
    </row>
    <row r="2544" spans="1:7" ht="12.75" hidden="1">
      <c r="A2544" s="11"/>
      <c r="B2544" s="11"/>
      <c r="C2544" s="11"/>
      <c r="E2544" s="11"/>
      <c r="F2544" s="24"/>
      <c r="G2544" s="11"/>
    </row>
    <row r="2545" spans="1:7" ht="12.75" hidden="1">
      <c r="A2545" s="11"/>
      <c r="B2545" s="11"/>
      <c r="C2545" s="11"/>
      <c r="E2545" s="11"/>
      <c r="F2545" s="24"/>
      <c r="G2545" s="11"/>
    </row>
    <row r="2546" spans="1:7" ht="12.75" hidden="1">
      <c r="A2546" s="11"/>
      <c r="B2546" s="11"/>
      <c r="C2546" s="11"/>
      <c r="E2546" s="11"/>
      <c r="F2546" s="24"/>
      <c r="G2546" s="11"/>
    </row>
    <row r="2547" spans="1:7" ht="12.75" hidden="1">
      <c r="A2547" s="11"/>
      <c r="B2547" s="11"/>
      <c r="C2547" s="11"/>
      <c r="E2547" s="11"/>
      <c r="F2547" s="24"/>
      <c r="G2547" s="11"/>
    </row>
    <row r="2548" spans="1:7" ht="12.75" hidden="1">
      <c r="A2548" s="11"/>
      <c r="B2548" s="11"/>
      <c r="C2548" s="11"/>
      <c r="E2548" s="11"/>
      <c r="F2548" s="24"/>
      <c r="G2548" s="11"/>
    </row>
    <row r="2549" spans="1:7" ht="12.75" hidden="1">
      <c r="A2549" s="11"/>
      <c r="B2549" s="11"/>
      <c r="C2549" s="11"/>
      <c r="E2549" s="11"/>
      <c r="F2549" s="24"/>
      <c r="G2549" s="11"/>
    </row>
    <row r="2550" spans="1:7" ht="12.75" hidden="1">
      <c r="A2550" s="11"/>
      <c r="B2550" s="11"/>
      <c r="C2550" s="11"/>
      <c r="E2550" s="11"/>
      <c r="F2550" s="24"/>
      <c r="G2550" s="11"/>
    </row>
    <row r="2551" spans="1:7" ht="12.75" hidden="1">
      <c r="A2551" s="11"/>
      <c r="B2551" s="11"/>
      <c r="C2551" s="11"/>
      <c r="E2551" s="11"/>
      <c r="F2551" s="24"/>
      <c r="G2551" s="11"/>
    </row>
    <row r="2552" spans="1:7" ht="12.75" hidden="1">
      <c r="A2552" s="11"/>
      <c r="B2552" s="11"/>
      <c r="C2552" s="11"/>
      <c r="E2552" s="11"/>
      <c r="F2552" s="24"/>
      <c r="G2552" s="11"/>
    </row>
    <row r="2553" spans="1:7" ht="12.75" hidden="1">
      <c r="A2553" s="11"/>
      <c r="B2553" s="11"/>
      <c r="C2553" s="11"/>
      <c r="E2553" s="11"/>
      <c r="F2553" s="24"/>
      <c r="G2553" s="11"/>
    </row>
    <row r="2554" spans="1:7" ht="12.75" hidden="1">
      <c r="A2554" s="11"/>
      <c r="B2554" s="11"/>
      <c r="C2554" s="11"/>
      <c r="E2554" s="11"/>
      <c r="F2554" s="24"/>
      <c r="G2554" s="11"/>
    </row>
    <row r="2555" spans="1:7" ht="12.75" hidden="1">
      <c r="A2555" s="11"/>
      <c r="B2555" s="11"/>
      <c r="C2555" s="11"/>
      <c r="E2555" s="11"/>
      <c r="F2555" s="24"/>
      <c r="G2555" s="11"/>
    </row>
    <row r="2556" spans="1:7" ht="12.75" hidden="1">
      <c r="A2556" s="11"/>
      <c r="B2556" s="11"/>
      <c r="C2556" s="11"/>
      <c r="E2556" s="11"/>
      <c r="F2556" s="24"/>
      <c r="G2556" s="11"/>
    </row>
    <row r="2557" spans="1:7" ht="12.75" hidden="1">
      <c r="A2557" s="11"/>
      <c r="B2557" s="11"/>
      <c r="C2557" s="11"/>
      <c r="E2557" s="11"/>
      <c r="F2557" s="24"/>
      <c r="G2557" s="11"/>
    </row>
    <row r="2558" spans="1:7" ht="12.75" hidden="1">
      <c r="A2558" s="11"/>
      <c r="B2558" s="11"/>
      <c r="C2558" s="11"/>
      <c r="E2558" s="11"/>
      <c r="F2558" s="24"/>
      <c r="G2558" s="11"/>
    </row>
    <row r="2559" spans="1:7" ht="12.75" hidden="1">
      <c r="A2559" s="11"/>
      <c r="B2559" s="11"/>
      <c r="C2559" s="11"/>
      <c r="E2559" s="11"/>
      <c r="F2559" s="24"/>
      <c r="G2559" s="11"/>
    </row>
    <row r="2560" spans="1:7" ht="12.75" hidden="1">
      <c r="A2560" s="11"/>
      <c r="B2560" s="11"/>
      <c r="C2560" s="11"/>
      <c r="E2560" s="11"/>
      <c r="F2560" s="24"/>
      <c r="G2560" s="11"/>
    </row>
    <row r="2561" spans="1:7" ht="12.75" hidden="1">
      <c r="A2561" s="11"/>
      <c r="B2561" s="11"/>
      <c r="C2561" s="11"/>
      <c r="E2561" s="11"/>
      <c r="F2561" s="24"/>
      <c r="G2561" s="11"/>
    </row>
    <row r="2562" spans="1:7" ht="12.75" hidden="1">
      <c r="A2562" s="11"/>
      <c r="B2562" s="11"/>
      <c r="C2562" s="11"/>
      <c r="E2562" s="11"/>
      <c r="F2562" s="24"/>
      <c r="G2562" s="11"/>
    </row>
    <row r="2563" spans="1:7" ht="12.75" hidden="1">
      <c r="A2563" s="11"/>
      <c r="B2563" s="11"/>
      <c r="C2563" s="11"/>
      <c r="E2563" s="11"/>
      <c r="F2563" s="24"/>
      <c r="G2563" s="11"/>
    </row>
    <row r="2564" spans="1:7" ht="12.75" hidden="1">
      <c r="A2564" s="11"/>
      <c r="B2564" s="11"/>
      <c r="C2564" s="11"/>
      <c r="E2564" s="11"/>
      <c r="F2564" s="24"/>
      <c r="G2564" s="11"/>
    </row>
    <row r="2565" spans="1:7" ht="12.75" hidden="1">
      <c r="A2565" s="11"/>
      <c r="B2565" s="11"/>
      <c r="C2565" s="11"/>
      <c r="E2565" s="11"/>
      <c r="F2565" s="24"/>
      <c r="G2565" s="11"/>
    </row>
    <row r="2566" spans="1:7" ht="12.75" hidden="1">
      <c r="A2566" s="11"/>
      <c r="B2566" s="11"/>
      <c r="C2566" s="11"/>
      <c r="E2566" s="11"/>
      <c r="F2566" s="24"/>
      <c r="G2566" s="11"/>
    </row>
    <row r="2567" spans="1:7" ht="12.75" hidden="1">
      <c r="A2567" s="11"/>
      <c r="B2567" s="11"/>
      <c r="C2567" s="11"/>
      <c r="E2567" s="11"/>
      <c r="F2567" s="24"/>
      <c r="G2567" s="11"/>
    </row>
    <row r="2568" spans="1:7" ht="12.75" hidden="1">
      <c r="A2568" s="11"/>
      <c r="B2568" s="11"/>
      <c r="C2568" s="11"/>
      <c r="E2568" s="11"/>
      <c r="F2568" s="24"/>
      <c r="G2568" s="11"/>
    </row>
    <row r="2569" spans="1:7" ht="12.75" hidden="1">
      <c r="A2569" s="11"/>
      <c r="B2569" s="11"/>
      <c r="C2569" s="11"/>
      <c r="E2569" s="11"/>
      <c r="F2569" s="24"/>
      <c r="G2569" s="11"/>
    </row>
    <row r="2570" spans="1:7" ht="12.75" hidden="1">
      <c r="A2570" s="11"/>
      <c r="B2570" s="11"/>
      <c r="C2570" s="11"/>
      <c r="E2570" s="11"/>
      <c r="F2570" s="24"/>
      <c r="G2570" s="11"/>
    </row>
    <row r="2571" spans="1:7" ht="12.75" hidden="1">
      <c r="A2571" s="11"/>
      <c r="B2571" s="11"/>
      <c r="C2571" s="11"/>
      <c r="E2571" s="11"/>
      <c r="F2571" s="24"/>
      <c r="G2571" s="11"/>
    </row>
    <row r="2572" spans="1:7" ht="12.75" hidden="1">
      <c r="A2572" s="11"/>
      <c r="B2572" s="11"/>
      <c r="C2572" s="11"/>
      <c r="E2572" s="11"/>
      <c r="F2572" s="24"/>
      <c r="G2572" s="11"/>
    </row>
    <row r="2573" spans="1:7" ht="12.75" hidden="1">
      <c r="A2573" s="11"/>
      <c r="B2573" s="11"/>
      <c r="C2573" s="11"/>
      <c r="E2573" s="11"/>
      <c r="F2573" s="24"/>
      <c r="G2573" s="11"/>
    </row>
    <row r="2574" spans="1:7" ht="12.75" hidden="1">
      <c r="A2574" s="11"/>
      <c r="B2574" s="11"/>
      <c r="C2574" s="11"/>
      <c r="E2574" s="11"/>
      <c r="F2574" s="24"/>
      <c r="G2574" s="11"/>
    </row>
    <row r="2575" spans="1:7" ht="12.75" hidden="1">
      <c r="A2575" s="11"/>
      <c r="B2575" s="11"/>
      <c r="C2575" s="11"/>
      <c r="E2575" s="11"/>
      <c r="F2575" s="24"/>
      <c r="G2575" s="11"/>
    </row>
    <row r="2576" spans="1:7" ht="12.75" hidden="1">
      <c r="A2576" s="11"/>
      <c r="B2576" s="11"/>
      <c r="C2576" s="11"/>
      <c r="E2576" s="11"/>
      <c r="F2576" s="24"/>
      <c r="G2576" s="11"/>
    </row>
    <row r="2577" spans="1:7" ht="12.75" hidden="1">
      <c r="A2577" s="11"/>
      <c r="B2577" s="11"/>
      <c r="C2577" s="11"/>
      <c r="E2577" s="11"/>
      <c r="F2577" s="24"/>
      <c r="G2577" s="11"/>
    </row>
    <row r="2578" spans="1:7" hidden="1"/>
    <row r="2579" spans="1:7" hidden="1"/>
    <row r="2580" spans="1:7" hidden="1"/>
    <row r="2581" spans="1:7" hidden="1"/>
    <row r="2582" spans="1:7" hidden="1"/>
    <row r="2583" spans="1:7" hidden="1"/>
    <row r="2584" spans="1:7" hidden="1"/>
    <row r="2585" spans="1:7" hidden="1"/>
    <row r="2586" spans="1:7" hidden="1"/>
    <row r="2587" spans="1:7" hidden="1"/>
    <row r="2588" spans="1:7" hidden="1"/>
    <row r="2589" spans="1:7" hidden="1"/>
    <row r="2590" spans="1:7" hidden="1"/>
    <row r="2591" spans="1:7" hidden="1"/>
    <row r="2592" spans="1:7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</sheetData>
  <sheetProtection password="DE3C" sheet="1" objects="1" scenarios="1"/>
  <conditionalFormatting sqref="A1:XFD3 A136:XFD152 B4:XFD4 B121:J135 L121:XFD135 B153:XFD167 B186:XFD200 B219:XFD233 B304:XFD318 B366:XFD380 B397:XFD411 B429:XFD443 A444:XFD1048576 A168:XFD185 A201:XFD218 A5:XFD120 A234:XFD303 A319:XFD365 A381:XFD396 A412:XFD428">
    <cfRule type="expression" dxfId="24" priority="28" stopIfTrue="1">
      <formula>CELL("protect",A1)=0</formula>
    </cfRule>
  </conditionalFormatting>
  <conditionalFormatting sqref="A186:A187">
    <cfRule type="expression" dxfId="23" priority="11" stopIfTrue="1">
      <formula>CELL("protect",A186)=0</formula>
    </cfRule>
  </conditionalFormatting>
  <conditionalFormatting sqref="A188:A200">
    <cfRule type="expression" dxfId="22" priority="12" stopIfTrue="1">
      <formula>CELL("protect",A188)=0</formula>
    </cfRule>
  </conditionalFormatting>
  <conditionalFormatting sqref="A153:A154">
    <cfRule type="expression" dxfId="21" priority="13" stopIfTrue="1">
      <formula>CELL("protect",A153)=0</formula>
    </cfRule>
  </conditionalFormatting>
  <conditionalFormatting sqref="A155:A167">
    <cfRule type="expression" dxfId="20" priority="14" stopIfTrue="1">
      <formula>CELL("protect",A155)=0</formula>
    </cfRule>
  </conditionalFormatting>
  <conditionalFormatting sqref="A121:A122">
    <cfRule type="expression" dxfId="19" priority="15" stopIfTrue="1">
      <formula>CELL("protect",A121)=0</formula>
    </cfRule>
  </conditionalFormatting>
  <conditionalFormatting sqref="A123:A135">
    <cfRule type="expression" dxfId="18" priority="16" stopIfTrue="1">
      <formula>CELL("protect",A123)=0</formula>
    </cfRule>
  </conditionalFormatting>
  <conditionalFormatting sqref="A4">
    <cfRule type="expression" dxfId="17" priority="19" stopIfTrue="1">
      <formula>CELL("protect",A4)=0</formula>
    </cfRule>
  </conditionalFormatting>
  <conditionalFormatting sqref="A429:A430">
    <cfRule type="expression" dxfId="16" priority="1" stopIfTrue="1">
      <formula>CELL("protect",A429)=0</formula>
    </cfRule>
  </conditionalFormatting>
  <conditionalFormatting sqref="A221:A233">
    <cfRule type="expression" dxfId="15" priority="10" stopIfTrue="1">
      <formula>CELL("protect",A221)=0</formula>
    </cfRule>
  </conditionalFormatting>
  <conditionalFormatting sqref="A219:A220">
    <cfRule type="expression" dxfId="14" priority="9" stopIfTrue="1">
      <formula>CELL("protect",A219)=0</formula>
    </cfRule>
  </conditionalFormatting>
  <conditionalFormatting sqref="A306:A318">
    <cfRule type="expression" dxfId="13" priority="8" stopIfTrue="1">
      <formula>CELL("protect",A306)=0</formula>
    </cfRule>
  </conditionalFormatting>
  <conditionalFormatting sqref="A304:A305">
    <cfRule type="expression" dxfId="12" priority="7" stopIfTrue="1">
      <formula>CELL("protect",A304)=0</formula>
    </cfRule>
  </conditionalFormatting>
  <conditionalFormatting sqref="A368:A380">
    <cfRule type="expression" dxfId="11" priority="6" stopIfTrue="1">
      <formula>CELL("protect",A368)=0</formula>
    </cfRule>
  </conditionalFormatting>
  <conditionalFormatting sqref="A366:A367">
    <cfRule type="expression" dxfId="10" priority="5" stopIfTrue="1">
      <formula>CELL("protect",A366)=0</formula>
    </cfRule>
  </conditionalFormatting>
  <conditionalFormatting sqref="A399:A411">
    <cfRule type="expression" dxfId="9" priority="4" stopIfTrue="1">
      <formula>CELL("protect",A399)=0</formula>
    </cfRule>
  </conditionalFormatting>
  <conditionalFormatting sqref="A397:A398">
    <cfRule type="expression" dxfId="8" priority="3" stopIfTrue="1">
      <formula>CELL("protect",A397)=0</formula>
    </cfRule>
  </conditionalFormatting>
  <conditionalFormatting sqref="A431:A443">
    <cfRule type="expression" dxfId="7" priority="2" stopIfTrue="1">
      <formula>CELL("protect",A431)=0</formula>
    </cfRule>
  </conditionalFormatting>
  <dataValidations count="1">
    <dataValidation type="decimal" allowBlank="1" showInputMessage="1" showErrorMessage="1" errorTitle="Please enter numbers only" promptTitle="enter numbers only" sqref="C149:C150 G7:G17 E149 C21:C52 E7:E17 E21:E52 C7:C19 C55 G55 E55 C117:C118 G149 G21:G52">
      <formula1>-1000000000000</formula1>
      <formula2>1000000000000</formula2>
    </dataValidation>
  </dataValidations>
  <hyperlinks>
    <hyperlink ref="A7" location="'CB40'!A57" display="  401   INTEREST INCOME"/>
    <hyperlink ref="A8" location="'CB40'!A78" display="  402   FEE INCOME"/>
    <hyperlink ref="A15" location="'CB40'!A184" display="  413  COMMISSION INCOME"/>
    <hyperlink ref="A14" location="'CB40'!A117" display="  412   GROSS PREMIUM INCOME"/>
    <hyperlink ref="A16" location="'CB40'!A217" display="  414   REINSURANCE RECOVERED ON CLAIMS"/>
    <hyperlink ref="A21" location="'CB40'!A248" display="  501   INTEREST EXPENSES"/>
    <hyperlink ref="A26" location="'CB40'!A263" display="  506   ADDITIONS (RELEASES) TO PROVISIONS"/>
    <hyperlink ref="A29" location="'CB40'!A302" display="  515  GROSS CLAIMS INCURRED"/>
    <hyperlink ref="A28" location="'CB40'!A276" display="  508   OTHER OPERATING EXPENSES"/>
    <hyperlink ref="A30" location="'CB40'!A347" display="  510  INSURANCE  BENEFITS (GROSS)"/>
    <hyperlink ref="A31" location="'CB40'!A354" display="  511  INCREASE/(DECREASE) IN POLICYHOLDERS RESERVE"/>
    <hyperlink ref="A33" location="'CB40'!A395" display="  517  COMMISSION EXPENSES"/>
    <hyperlink ref="A34" location="'CB40'!A427" display="  518  OTHER ACQUISITION EXPENSES"/>
    <hyperlink ref="A32" location="'CB40'!A364" display="  516  REINSURANCE CEDED"/>
    <hyperlink ref="A276" location="'CB40'!A28" display="508. OTHER OPERATING EXPENSES "/>
    <hyperlink ref="A263" location="'CB40'!A26" display="506.   ADDITIONS (RELEASES) TO PROVISIONS"/>
    <hyperlink ref="A248" location="'CB40'!A21" display="501   INTEREST EXPENSES"/>
    <hyperlink ref="A57" location="'CB40'!A7" display="401.  INTEREST INCOME "/>
    <hyperlink ref="A78" location="'CB40'!A8" display="402. FEE INCOME"/>
    <hyperlink ref="A117" location="'CB40'!A14" display="412. GROSS PREMIUM INCOME"/>
    <hyperlink ref="A184" location="'CB40'!A15" display="413.    COMMISSION INCOME "/>
    <hyperlink ref="A217" location="'CB40'!A16" display="414.  REINSURANCE RECOVERED ON CLAIMS"/>
    <hyperlink ref="A302" location="'CB40'!A29" display="515.   GROSS CLAIMS INCURRED "/>
    <hyperlink ref="A347" location="'CB40'!A30" display="  510.  INSURANCE BENEFITS (GROSS)"/>
    <hyperlink ref="A354" location="'CB40'!A31" display="511.   INCREASE/(DECREASE) IN POLICYHOLDERS RESERVE"/>
    <hyperlink ref="A395" location="'CB40'!A33" display="517.    COMMISSION EXPENSE (GROSS)"/>
    <hyperlink ref="A427" location="'CB40'!A34" display="518. OTHER ACQUISITION EXPENSES (GROSS)"/>
    <hyperlink ref="A364" location="'CB40'!A32" display="516.    REINSURANCE CEDED"/>
    <hyperlink ref="A95" location="'CB40'!A13" display="408. OTHER OPERATING INCOME"/>
    <hyperlink ref="A13" location="'CB40'!A95" display="  408  OTHER OPERATING INCOME"/>
  </hyperlinks>
  <pageMargins left="0.52" right="0.23" top="0.75" bottom="0.82" header="0.35" footer="0.4"/>
  <pageSetup paperSize="9" scale="84" fitToHeight="10" orientation="portrait" r:id="rId1"/>
  <headerFooter alignWithMargins="0">
    <oddHeader>&amp;L&amp;F&amp;C         &amp;RCB 40 INSURANCE 
STATEMENT OF INCOME AND EXPENSES</oddHeader>
    <oddFooter>&amp;L&amp;D&amp;R&amp;P of &amp;N</oddFooter>
  </headerFooter>
  <rowBreaks count="6" manualBreakCount="6">
    <brk id="56" max="8" man="1"/>
    <brk id="116" max="8" man="1"/>
    <brk id="149" max="8" man="1"/>
    <brk id="183" max="8" man="1"/>
    <brk id="216" max="8" man="1"/>
    <brk id="42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27"/>
  <sheetViews>
    <sheetView zoomScaleNormal="100" workbookViewId="0">
      <selection activeCell="F17" sqref="F17"/>
    </sheetView>
  </sheetViews>
  <sheetFormatPr defaultColWidth="9.140625" defaultRowHeight="12.75"/>
  <cols>
    <col min="1" max="1" width="13.140625" style="364" customWidth="1"/>
    <col min="2" max="6" width="13.42578125" style="364" customWidth="1"/>
    <col min="7" max="7" width="13.5703125" style="364" customWidth="1"/>
    <col min="8" max="8" width="14" style="364" customWidth="1"/>
    <col min="9" max="15" width="13.5703125" style="364" customWidth="1"/>
    <col min="16" max="16384" width="9.140625" style="364"/>
  </cols>
  <sheetData>
    <row r="1" spans="1:15" s="436" customFormat="1" ht="11.25" customHeight="1">
      <c r="A1" s="687" t="str">
        <f>[0]!Name</f>
        <v xml:space="preserve"> SELECT INSURANCE COMPANY</v>
      </c>
      <c r="B1" s="687"/>
      <c r="C1" s="687"/>
      <c r="D1" s="687"/>
      <c r="E1" s="687"/>
      <c r="F1" s="687"/>
      <c r="G1" s="687"/>
      <c r="H1" s="687"/>
      <c r="I1" s="687"/>
      <c r="J1" s="687"/>
      <c r="K1" s="688"/>
      <c r="L1" s="688"/>
      <c r="M1" s="688"/>
      <c r="N1" s="688"/>
      <c r="O1" s="688"/>
    </row>
    <row r="2" spans="1:15" s="436" customFormat="1" ht="11.25" customHeight="1">
      <c r="A2" s="687" t="s">
        <v>476</v>
      </c>
      <c r="B2" s="687"/>
      <c r="C2" s="688"/>
      <c r="D2" s="688"/>
      <c r="E2" s="688"/>
      <c r="F2" s="688"/>
      <c r="G2" s="688"/>
      <c r="H2" s="688"/>
      <c r="I2" s="535"/>
      <c r="J2" s="688"/>
      <c r="K2" s="688"/>
      <c r="L2" s="688"/>
      <c r="M2" s="688"/>
      <c r="N2" s="688"/>
      <c r="O2" s="688"/>
    </row>
    <row r="3" spans="1:15">
      <c r="G3" s="405"/>
      <c r="H3" s="689">
        <f>Cover!reportdate</f>
        <v>0</v>
      </c>
      <c r="I3" s="405"/>
      <c r="L3" s="391"/>
    </row>
    <row r="4" spans="1:15">
      <c r="B4" s="834" t="s">
        <v>477</v>
      </c>
      <c r="C4" s="835"/>
      <c r="D4" s="834" t="s">
        <v>478</v>
      </c>
      <c r="E4" s="835"/>
      <c r="F4" s="834" t="s">
        <v>479</v>
      </c>
      <c r="G4" s="835"/>
      <c r="H4" s="834" t="s">
        <v>480</v>
      </c>
      <c r="I4" s="836"/>
      <c r="J4" s="834" t="s">
        <v>481</v>
      </c>
      <c r="K4" s="835"/>
      <c r="L4" s="834" t="s">
        <v>482</v>
      </c>
      <c r="M4" s="835"/>
      <c r="N4" s="834" t="s">
        <v>9</v>
      </c>
      <c r="O4" s="835"/>
    </row>
    <row r="5" spans="1:15">
      <c r="A5" s="690" t="s">
        <v>483</v>
      </c>
      <c r="B5" s="691" t="s">
        <v>484</v>
      </c>
      <c r="C5" s="692" t="s">
        <v>485</v>
      </c>
      <c r="D5" s="691" t="s">
        <v>484</v>
      </c>
      <c r="E5" s="692" t="s">
        <v>485</v>
      </c>
      <c r="F5" s="691" t="s">
        <v>484</v>
      </c>
      <c r="G5" s="691" t="s">
        <v>485</v>
      </c>
      <c r="H5" s="691" t="s">
        <v>484</v>
      </c>
      <c r="I5" s="691" t="s">
        <v>485</v>
      </c>
      <c r="J5" s="691" t="s">
        <v>484</v>
      </c>
      <c r="K5" s="691" t="s">
        <v>485</v>
      </c>
      <c r="L5" s="691" t="s">
        <v>484</v>
      </c>
      <c r="M5" s="691" t="s">
        <v>485</v>
      </c>
      <c r="N5" s="691" t="s">
        <v>484</v>
      </c>
      <c r="O5" s="691" t="s">
        <v>485</v>
      </c>
    </row>
    <row r="6" spans="1:15">
      <c r="A6" s="693" t="s">
        <v>486</v>
      </c>
      <c r="B6" s="694"/>
      <c r="C6" s="695"/>
      <c r="D6" s="696"/>
      <c r="E6" s="696"/>
      <c r="F6" s="694"/>
      <c r="G6" s="695"/>
      <c r="H6" s="694"/>
      <c r="I6" s="695"/>
      <c r="J6" s="694"/>
      <c r="K6" s="695"/>
      <c r="L6" s="694"/>
      <c r="M6" s="695"/>
      <c r="N6" s="392">
        <f>MAX(B6+D6+F6+H6+J6+L6)</f>
        <v>0</v>
      </c>
      <c r="O6" s="393">
        <f>MIN(C6+E6+G6+I6+K6+M6)</f>
        <v>0</v>
      </c>
    </row>
    <row r="7" spans="1:15">
      <c r="A7" s="697" t="s">
        <v>487</v>
      </c>
      <c r="B7" s="698"/>
      <c r="C7" s="699"/>
      <c r="D7" s="700"/>
      <c r="E7" s="700"/>
      <c r="F7" s="698"/>
      <c r="G7" s="699"/>
      <c r="H7" s="698"/>
      <c r="I7" s="699"/>
      <c r="J7" s="698"/>
      <c r="K7" s="699"/>
      <c r="L7" s="698"/>
      <c r="M7" s="699"/>
      <c r="N7" s="392">
        <f>MAX(B7+D7+F7+H7+J7+L7)</f>
        <v>0</v>
      </c>
      <c r="O7" s="393">
        <f>MIN(C7+E7+G7+I7+K7+M7)</f>
        <v>0</v>
      </c>
    </row>
    <row r="8" spans="1:15">
      <c r="A8" s="701"/>
      <c r="B8" s="394"/>
      <c r="C8" s="395"/>
      <c r="D8" s="396"/>
      <c r="E8" s="396"/>
      <c r="F8" s="394"/>
      <c r="G8" s="395"/>
      <c r="H8" s="394"/>
      <c r="I8" s="395"/>
      <c r="J8" s="394"/>
      <c r="K8" s="395"/>
      <c r="L8" s="394"/>
      <c r="M8" s="395"/>
      <c r="N8" s="394"/>
      <c r="O8" s="396"/>
    </row>
    <row r="9" spans="1:15">
      <c r="A9" s="702"/>
      <c r="B9" s="834" t="s">
        <v>477</v>
      </c>
      <c r="C9" s="835"/>
      <c r="D9" s="834" t="s">
        <v>478</v>
      </c>
      <c r="E9" s="835"/>
      <c r="F9" s="834" t="s">
        <v>479</v>
      </c>
      <c r="G9" s="835"/>
      <c r="H9" s="834" t="s">
        <v>480</v>
      </c>
      <c r="I9" s="836"/>
      <c r="J9" s="834" t="s">
        <v>481</v>
      </c>
      <c r="K9" s="835"/>
      <c r="L9" s="834" t="s">
        <v>482</v>
      </c>
      <c r="M9" s="835"/>
      <c r="N9" s="834" t="s">
        <v>9</v>
      </c>
      <c r="O9" s="835"/>
    </row>
    <row r="10" spans="1:15" ht="27" customHeight="1">
      <c r="A10" s="703" t="s">
        <v>483</v>
      </c>
      <c r="B10" s="704" t="s">
        <v>488</v>
      </c>
      <c r="C10" s="403" t="s">
        <v>489</v>
      </c>
      <c r="D10" s="704" t="s">
        <v>488</v>
      </c>
      <c r="E10" s="403" t="s">
        <v>489</v>
      </c>
      <c r="F10" s="704" t="s">
        <v>488</v>
      </c>
      <c r="G10" s="403" t="s">
        <v>489</v>
      </c>
      <c r="H10" s="704" t="s">
        <v>488</v>
      </c>
      <c r="I10" s="403" t="s">
        <v>489</v>
      </c>
      <c r="J10" s="704" t="s">
        <v>488</v>
      </c>
      <c r="K10" s="403" t="s">
        <v>489</v>
      </c>
      <c r="L10" s="704" t="s">
        <v>488</v>
      </c>
      <c r="M10" s="403" t="s">
        <v>489</v>
      </c>
      <c r="N10" s="704" t="s">
        <v>488</v>
      </c>
      <c r="O10" s="403" t="s">
        <v>489</v>
      </c>
    </row>
    <row r="11" spans="1:15">
      <c r="A11" s="705" t="s">
        <v>490</v>
      </c>
      <c r="B11" s="608"/>
      <c r="C11" s="706"/>
      <c r="D11" s="706"/>
      <c r="E11" s="706"/>
      <c r="F11" s="608"/>
      <c r="G11" s="706"/>
      <c r="H11" s="608"/>
      <c r="I11" s="706"/>
      <c r="J11" s="608"/>
      <c r="K11" s="706"/>
      <c r="L11" s="608"/>
      <c r="M11" s="706"/>
      <c r="N11" s="397">
        <f t="shared" ref="N11:O17" si="0">B11+D11+F11+H11+J11+L11</f>
        <v>0</v>
      </c>
      <c r="O11" s="397">
        <f t="shared" si="0"/>
        <v>0</v>
      </c>
    </row>
    <row r="12" spans="1:15">
      <c r="A12" s="707" t="s">
        <v>491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398">
        <f t="shared" si="0"/>
        <v>0</v>
      </c>
      <c r="O12" s="398">
        <f t="shared" si="0"/>
        <v>0</v>
      </c>
    </row>
    <row r="13" spans="1:15">
      <c r="A13" s="707" t="s">
        <v>492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398">
        <f t="shared" si="0"/>
        <v>0</v>
      </c>
      <c r="O13" s="398">
        <f t="shared" si="0"/>
        <v>0</v>
      </c>
    </row>
    <row r="14" spans="1:15">
      <c r="A14" s="707" t="s">
        <v>493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398">
        <f t="shared" si="0"/>
        <v>0</v>
      </c>
      <c r="O14" s="398">
        <f t="shared" si="0"/>
        <v>0</v>
      </c>
    </row>
    <row r="15" spans="1:15">
      <c r="A15" s="708" t="s">
        <v>494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398">
        <f t="shared" si="0"/>
        <v>0</v>
      </c>
      <c r="O15" s="398">
        <f t="shared" si="0"/>
        <v>0</v>
      </c>
    </row>
    <row r="16" spans="1:15">
      <c r="A16" s="709" t="s">
        <v>495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398">
        <f t="shared" si="0"/>
        <v>0</v>
      </c>
      <c r="O16" s="398">
        <f t="shared" si="0"/>
        <v>0</v>
      </c>
    </row>
    <row r="17" spans="1:15">
      <c r="A17" s="709" t="s">
        <v>496</v>
      </c>
      <c r="B17" s="710"/>
      <c r="C17" s="711"/>
      <c r="D17" s="711"/>
      <c r="E17" s="711"/>
      <c r="F17" s="710"/>
      <c r="G17" s="711"/>
      <c r="H17" s="710"/>
      <c r="I17" s="711"/>
      <c r="J17" s="710"/>
      <c r="K17" s="711"/>
      <c r="L17" s="710"/>
      <c r="M17" s="711"/>
      <c r="N17" s="257">
        <f t="shared" si="0"/>
        <v>0</v>
      </c>
      <c r="O17" s="257">
        <f t="shared" si="0"/>
        <v>0</v>
      </c>
    </row>
    <row r="18" spans="1:15">
      <c r="A18" s="703" t="s">
        <v>9</v>
      </c>
      <c r="B18" s="399">
        <f t="shared" ref="B18:O18" si="1">SUM(B11:B17)</f>
        <v>0</v>
      </c>
      <c r="C18" s="399">
        <f t="shared" si="1"/>
        <v>0</v>
      </c>
      <c r="D18" s="399">
        <f t="shared" si="1"/>
        <v>0</v>
      </c>
      <c r="E18" s="399">
        <f t="shared" si="1"/>
        <v>0</v>
      </c>
      <c r="F18" s="399">
        <f t="shared" si="1"/>
        <v>0</v>
      </c>
      <c r="G18" s="399">
        <f t="shared" si="1"/>
        <v>0</v>
      </c>
      <c r="H18" s="399">
        <f t="shared" si="1"/>
        <v>0</v>
      </c>
      <c r="I18" s="399">
        <f t="shared" si="1"/>
        <v>0</v>
      </c>
      <c r="J18" s="399">
        <f t="shared" si="1"/>
        <v>0</v>
      </c>
      <c r="K18" s="399">
        <f t="shared" si="1"/>
        <v>0</v>
      </c>
      <c r="L18" s="399">
        <f t="shared" si="1"/>
        <v>0</v>
      </c>
      <c r="M18" s="399">
        <f t="shared" si="1"/>
        <v>0</v>
      </c>
      <c r="N18" s="399">
        <f t="shared" si="1"/>
        <v>0</v>
      </c>
      <c r="O18" s="399">
        <f t="shared" si="1"/>
        <v>0</v>
      </c>
    </row>
    <row r="19" spans="1:15">
      <c r="A19" s="400"/>
      <c r="B19" s="401"/>
      <c r="C19" s="401"/>
      <c r="D19" s="402"/>
      <c r="E19" s="402"/>
      <c r="F19" s="11"/>
      <c r="G19" s="11"/>
      <c r="H19" s="11"/>
      <c r="I19" s="11"/>
      <c r="J19" s="11"/>
    </row>
    <row r="20" spans="1:15">
      <c r="A20" s="11"/>
      <c r="B20" s="11"/>
      <c r="F20" s="45"/>
      <c r="G20" s="409"/>
      <c r="H20" s="46"/>
      <c r="I20" s="409"/>
      <c r="J20" s="46"/>
      <c r="K20" s="409"/>
      <c r="L20" s="440"/>
      <c r="M20" s="409"/>
      <c r="N20" s="214"/>
      <c r="O20" s="214"/>
    </row>
    <row r="21" spans="1:15" ht="12.75" customHeight="1">
      <c r="A21" s="11"/>
      <c r="B21" s="11"/>
      <c r="C21" s="11"/>
      <c r="D21" s="11"/>
      <c r="E21" s="11"/>
    </row>
    <row r="22" spans="1:15">
      <c r="A22" s="11"/>
      <c r="B22" s="11"/>
      <c r="C22" s="11"/>
      <c r="D22" s="11"/>
      <c r="E22" s="11"/>
    </row>
    <row r="23" spans="1:15" ht="25.5">
      <c r="A23" s="837" t="s">
        <v>497</v>
      </c>
      <c r="B23" s="837"/>
      <c r="C23" s="403" t="s">
        <v>477</v>
      </c>
      <c r="D23" s="403" t="s">
        <v>478</v>
      </c>
      <c r="E23" s="403" t="s">
        <v>479</v>
      </c>
      <c r="F23" s="403" t="s">
        <v>480</v>
      </c>
      <c r="G23" s="403" t="s">
        <v>481</v>
      </c>
      <c r="H23" s="403" t="s">
        <v>498</v>
      </c>
      <c r="I23" s="404" t="s">
        <v>9</v>
      </c>
    </row>
    <row r="24" spans="1:15" ht="18.75" customHeight="1">
      <c r="A24" s="837" t="s">
        <v>499</v>
      </c>
      <c r="B24" s="837"/>
      <c r="C24" s="712"/>
      <c r="D24" s="712"/>
      <c r="E24" s="713"/>
      <c r="F24" s="712"/>
      <c r="G24" s="712"/>
      <c r="H24" s="712"/>
      <c r="I24" s="356">
        <f>SUM(C24:H24)</f>
        <v>0</v>
      </c>
    </row>
    <row r="25" spans="1:15">
      <c r="A25" s="11"/>
      <c r="B25" s="11"/>
      <c r="C25" s="11"/>
      <c r="D25" s="11"/>
      <c r="E25" s="11"/>
    </row>
    <row r="26" spans="1:15">
      <c r="A26" s="11"/>
      <c r="B26" s="11"/>
      <c r="C26" s="11"/>
      <c r="D26" s="11"/>
      <c r="E26" s="11"/>
    </row>
    <row r="27" spans="1:15">
      <c r="A27" s="11"/>
      <c r="B27" s="11"/>
      <c r="C27" s="11"/>
      <c r="D27" s="11"/>
      <c r="E27" s="11"/>
    </row>
  </sheetData>
  <sheetProtection algorithmName="SHA-512" hashValue="IbZDyBUTKCy7dkDsIn75YpT4KnSZ81YJUeK1mm/jhGmbTkU+cjSuyHRFZJPobi1uacRcX3FPauUbu+tDyuuZAA==" saltValue="dy+VTADcjna45bY7mADNsg==" spinCount="100000" sheet="1" selectLockedCells="1"/>
  <mergeCells count="16">
    <mergeCell ref="B4:C4"/>
    <mergeCell ref="F4:G4"/>
    <mergeCell ref="D4:E4"/>
    <mergeCell ref="A23:B23"/>
    <mergeCell ref="A24:B24"/>
    <mergeCell ref="B9:C9"/>
    <mergeCell ref="F9:G9"/>
    <mergeCell ref="D9:E9"/>
    <mergeCell ref="L4:M4"/>
    <mergeCell ref="N4:O4"/>
    <mergeCell ref="L9:M9"/>
    <mergeCell ref="N9:O9"/>
    <mergeCell ref="H4:I4"/>
    <mergeCell ref="J4:K4"/>
    <mergeCell ref="J9:K9"/>
    <mergeCell ref="H9:I9"/>
  </mergeCells>
  <phoneticPr fontId="0" type="noConversion"/>
  <conditionalFormatting sqref="A1:XFD1048576">
    <cfRule type="expression" dxfId="6" priority="1" stopIfTrue="1">
      <formula>CELL("protect",A1)=0</formula>
    </cfRule>
  </conditionalFormatting>
  <pageMargins left="0.53" right="0.46" top="1" bottom="1" header="0.5" footer="0.5"/>
  <pageSetup paperSize="5" scale="83" orientation="landscape" blackAndWhite="1" verticalDpi="300" r:id="rId1"/>
  <headerFooter alignWithMargins="0">
    <oddHeader>&amp;L&amp;F&amp;RCB20 INSURANCE
SCHEDULE 1A</oddHeader>
    <oddFooter>&amp;L&amp;D&amp;R&amp;P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27"/>
  <sheetViews>
    <sheetView zoomScaleNormal="100" workbookViewId="0">
      <selection activeCell="C17" sqref="C17"/>
    </sheetView>
  </sheetViews>
  <sheetFormatPr defaultColWidth="9.140625" defaultRowHeight="12.75"/>
  <cols>
    <col min="1" max="1" width="13.140625" style="364" customWidth="1"/>
    <col min="2" max="4" width="13.42578125" style="364" customWidth="1"/>
    <col min="5" max="5" width="14.5703125" style="364" customWidth="1"/>
    <col min="6" max="6" width="14" style="364" customWidth="1"/>
    <col min="7" max="7" width="14.28515625" style="364" customWidth="1"/>
    <col min="8" max="11" width="13.5703125" style="364" customWidth="1"/>
    <col min="12" max="16384" width="9.140625" style="364"/>
  </cols>
  <sheetData>
    <row r="1" spans="1:11" ht="11.25" customHeight="1">
      <c r="A1" s="714" t="str">
        <f>[0]!Name</f>
        <v xml:space="preserve"> SELECT INSURANCE COMPANY</v>
      </c>
      <c r="B1" s="715"/>
      <c r="C1" s="715"/>
      <c r="D1" s="715"/>
      <c r="E1" s="715"/>
      <c r="F1" s="715"/>
      <c r="G1" s="715"/>
      <c r="H1" s="715"/>
      <c r="I1" s="405"/>
      <c r="J1" s="405"/>
      <c r="K1" s="405"/>
    </row>
    <row r="2" spans="1:11" ht="11.25" customHeight="1">
      <c r="A2" s="714" t="s">
        <v>500</v>
      </c>
      <c r="B2" s="715"/>
      <c r="C2" s="405"/>
      <c r="D2" s="405"/>
      <c r="E2" s="405"/>
      <c r="F2" s="535"/>
      <c r="G2" s="405"/>
      <c r="H2" s="405"/>
      <c r="I2" s="405"/>
      <c r="J2" s="405"/>
      <c r="K2" s="405"/>
    </row>
    <row r="3" spans="1:11">
      <c r="E3" s="405"/>
      <c r="F3" s="689">
        <f>Cover!reportdate</f>
        <v>0</v>
      </c>
      <c r="G3" s="405"/>
    </row>
    <row r="4" spans="1:11">
      <c r="B4" s="834" t="s">
        <v>501</v>
      </c>
      <c r="C4" s="835"/>
      <c r="D4" s="834" t="s">
        <v>502</v>
      </c>
      <c r="E4" s="835"/>
      <c r="F4" s="834" t="s">
        <v>503</v>
      </c>
      <c r="G4" s="836"/>
      <c r="H4" s="834" t="s">
        <v>504</v>
      </c>
      <c r="I4" s="835"/>
      <c r="J4" s="834" t="s">
        <v>9</v>
      </c>
      <c r="K4" s="835"/>
    </row>
    <row r="5" spans="1:11">
      <c r="A5" s="690" t="s">
        <v>483</v>
      </c>
      <c r="B5" s="691" t="s">
        <v>484</v>
      </c>
      <c r="C5" s="691" t="s">
        <v>485</v>
      </c>
      <c r="D5" s="691" t="s">
        <v>484</v>
      </c>
      <c r="E5" s="691" t="s">
        <v>485</v>
      </c>
      <c r="F5" s="691" t="s">
        <v>484</v>
      </c>
      <c r="G5" s="691" t="s">
        <v>485</v>
      </c>
      <c r="H5" s="691" t="s">
        <v>484</v>
      </c>
      <c r="I5" s="691" t="s">
        <v>485</v>
      </c>
      <c r="J5" s="691" t="s">
        <v>484</v>
      </c>
      <c r="K5" s="691" t="s">
        <v>485</v>
      </c>
    </row>
    <row r="6" spans="1:11">
      <c r="A6" s="693" t="s">
        <v>486</v>
      </c>
      <c r="B6" s="716"/>
      <c r="C6" s="717"/>
      <c r="D6" s="716"/>
      <c r="E6" s="717"/>
      <c r="F6" s="716"/>
      <c r="G6" s="717"/>
      <c r="H6" s="716"/>
      <c r="I6" s="717"/>
      <c r="J6" s="406">
        <f>MAX(B6,D6,F6,H6)</f>
        <v>0</v>
      </c>
      <c r="K6" s="407">
        <f>MIN(C6,E6,G6,I6)</f>
        <v>0</v>
      </c>
    </row>
    <row r="7" spans="1:11">
      <c r="A7" s="697" t="s">
        <v>487</v>
      </c>
      <c r="B7" s="718"/>
      <c r="C7" s="719"/>
      <c r="D7" s="718"/>
      <c r="E7" s="719"/>
      <c r="F7" s="718"/>
      <c r="G7" s="719"/>
      <c r="H7" s="718"/>
      <c r="I7" s="719"/>
      <c r="J7" s="406">
        <f>MAX(B7,D7,F7,H7)</f>
        <v>0</v>
      </c>
      <c r="K7" s="407">
        <f>MIN(C7,E7,G7,I7)</f>
        <v>0</v>
      </c>
    </row>
    <row r="8" spans="1:11">
      <c r="A8" s="701"/>
      <c r="B8" s="394"/>
      <c r="C8" s="395"/>
      <c r="D8" s="394"/>
      <c r="E8" s="395"/>
      <c r="F8" s="394"/>
      <c r="G8" s="395"/>
      <c r="H8" s="394"/>
      <c r="I8" s="395"/>
      <c r="J8" s="394"/>
      <c r="K8" s="396"/>
    </row>
    <row r="9" spans="1:11">
      <c r="A9" s="702"/>
      <c r="B9" s="834" t="s">
        <v>501</v>
      </c>
      <c r="C9" s="835"/>
      <c r="D9" s="834" t="s">
        <v>502</v>
      </c>
      <c r="E9" s="835"/>
      <c r="F9" s="834" t="s">
        <v>503</v>
      </c>
      <c r="G9" s="836"/>
      <c r="H9" s="834" t="s">
        <v>504</v>
      </c>
      <c r="I9" s="835"/>
      <c r="J9" s="834" t="s">
        <v>9</v>
      </c>
      <c r="K9" s="835"/>
    </row>
    <row r="10" spans="1:11" ht="27" customHeight="1">
      <c r="A10" s="703" t="s">
        <v>483</v>
      </c>
      <c r="B10" s="704" t="s">
        <v>505</v>
      </c>
      <c r="C10" s="403" t="s">
        <v>506</v>
      </c>
      <c r="D10" s="704" t="s">
        <v>505</v>
      </c>
      <c r="E10" s="403" t="s">
        <v>506</v>
      </c>
      <c r="F10" s="704" t="s">
        <v>505</v>
      </c>
      <c r="G10" s="403" t="s">
        <v>506</v>
      </c>
      <c r="H10" s="704" t="s">
        <v>505</v>
      </c>
      <c r="I10" s="403" t="s">
        <v>506</v>
      </c>
      <c r="J10" s="704" t="s">
        <v>505</v>
      </c>
      <c r="K10" s="403" t="s">
        <v>506</v>
      </c>
    </row>
    <row r="11" spans="1:11">
      <c r="A11" s="705" t="s">
        <v>490</v>
      </c>
      <c r="B11" s="608"/>
      <c r="C11" s="706"/>
      <c r="D11" s="608"/>
      <c r="E11" s="706"/>
      <c r="F11" s="608"/>
      <c r="G11" s="706"/>
      <c r="H11" s="608"/>
      <c r="I11" s="706"/>
      <c r="J11" s="397">
        <f t="shared" ref="J11:K17" si="0">B11+D11+F11+H11</f>
        <v>0</v>
      </c>
      <c r="K11" s="397">
        <f t="shared" si="0"/>
        <v>0</v>
      </c>
    </row>
    <row r="12" spans="1:11">
      <c r="A12" s="707" t="s">
        <v>491</v>
      </c>
      <c r="B12" s="562"/>
      <c r="C12" s="562"/>
      <c r="D12" s="562"/>
      <c r="E12" s="562"/>
      <c r="F12" s="562"/>
      <c r="G12" s="562"/>
      <c r="H12" s="562"/>
      <c r="I12" s="562"/>
      <c r="J12" s="398">
        <f t="shared" si="0"/>
        <v>0</v>
      </c>
      <c r="K12" s="398">
        <f t="shared" si="0"/>
        <v>0</v>
      </c>
    </row>
    <row r="13" spans="1:11">
      <c r="A13" s="707" t="s">
        <v>492</v>
      </c>
      <c r="B13" s="562"/>
      <c r="C13" s="562"/>
      <c r="D13" s="562"/>
      <c r="E13" s="562"/>
      <c r="F13" s="562"/>
      <c r="G13" s="562"/>
      <c r="H13" s="562"/>
      <c r="I13" s="562"/>
      <c r="J13" s="398">
        <f t="shared" si="0"/>
        <v>0</v>
      </c>
      <c r="K13" s="398">
        <f t="shared" si="0"/>
        <v>0</v>
      </c>
    </row>
    <row r="14" spans="1:11">
      <c r="A14" s="707" t="s">
        <v>493</v>
      </c>
      <c r="B14" s="562"/>
      <c r="C14" s="562"/>
      <c r="D14" s="562"/>
      <c r="E14" s="562"/>
      <c r="F14" s="562"/>
      <c r="G14" s="562"/>
      <c r="H14" s="562"/>
      <c r="I14" s="562"/>
      <c r="J14" s="398">
        <f t="shared" si="0"/>
        <v>0</v>
      </c>
      <c r="K14" s="398">
        <f t="shared" si="0"/>
        <v>0</v>
      </c>
    </row>
    <row r="15" spans="1:11">
      <c r="A15" s="708" t="s">
        <v>494</v>
      </c>
      <c r="B15" s="562"/>
      <c r="C15" s="562"/>
      <c r="D15" s="562"/>
      <c r="E15" s="562"/>
      <c r="F15" s="562"/>
      <c r="G15" s="562"/>
      <c r="H15" s="562"/>
      <c r="I15" s="562"/>
      <c r="J15" s="398">
        <f t="shared" si="0"/>
        <v>0</v>
      </c>
      <c r="K15" s="398">
        <f t="shared" si="0"/>
        <v>0</v>
      </c>
    </row>
    <row r="16" spans="1:11">
      <c r="A16" s="709" t="s">
        <v>495</v>
      </c>
      <c r="B16" s="562"/>
      <c r="C16" s="562"/>
      <c r="D16" s="562"/>
      <c r="E16" s="562"/>
      <c r="F16" s="562"/>
      <c r="G16" s="562"/>
      <c r="H16" s="562"/>
      <c r="I16" s="562"/>
      <c r="J16" s="398">
        <f t="shared" si="0"/>
        <v>0</v>
      </c>
      <c r="K16" s="398">
        <f t="shared" si="0"/>
        <v>0</v>
      </c>
    </row>
    <row r="17" spans="1:11">
      <c r="A17" s="709" t="s">
        <v>507</v>
      </c>
      <c r="B17" s="710"/>
      <c r="C17" s="711"/>
      <c r="D17" s="710"/>
      <c r="E17" s="711"/>
      <c r="F17" s="710"/>
      <c r="G17" s="711"/>
      <c r="H17" s="710"/>
      <c r="I17" s="711"/>
      <c r="J17" s="257">
        <f t="shared" si="0"/>
        <v>0</v>
      </c>
      <c r="K17" s="257">
        <f t="shared" si="0"/>
        <v>0</v>
      </c>
    </row>
    <row r="18" spans="1:11">
      <c r="A18" s="703" t="s">
        <v>9</v>
      </c>
      <c r="B18" s="399">
        <f t="shared" ref="B18:K18" si="1">SUM(B11:B17)</f>
        <v>0</v>
      </c>
      <c r="C18" s="399">
        <f t="shared" si="1"/>
        <v>0</v>
      </c>
      <c r="D18" s="399">
        <f t="shared" si="1"/>
        <v>0</v>
      </c>
      <c r="E18" s="399">
        <f t="shared" si="1"/>
        <v>0</v>
      </c>
      <c r="F18" s="399">
        <f t="shared" si="1"/>
        <v>0</v>
      </c>
      <c r="G18" s="399">
        <f t="shared" si="1"/>
        <v>0</v>
      </c>
      <c r="H18" s="399">
        <f t="shared" si="1"/>
        <v>0</v>
      </c>
      <c r="I18" s="399">
        <f t="shared" si="1"/>
        <v>0</v>
      </c>
      <c r="J18" s="399">
        <f t="shared" si="1"/>
        <v>0</v>
      </c>
      <c r="K18" s="399">
        <f t="shared" si="1"/>
        <v>0</v>
      </c>
    </row>
    <row r="19" spans="1:11">
      <c r="A19" s="408"/>
      <c r="B19" s="396"/>
      <c r="C19" s="396"/>
      <c r="D19" s="437"/>
      <c r="E19" s="437"/>
      <c r="F19" s="437"/>
      <c r="G19" s="437"/>
      <c r="H19" s="437"/>
      <c r="I19" s="436"/>
      <c r="J19" s="436"/>
      <c r="K19" s="436"/>
    </row>
    <row r="20" spans="1:11">
      <c r="A20" s="436"/>
      <c r="B20" s="436"/>
      <c r="C20" s="436"/>
      <c r="D20" s="46"/>
      <c r="E20" s="409"/>
      <c r="F20" s="46"/>
      <c r="G20" s="409"/>
      <c r="H20" s="46"/>
      <c r="I20" s="409"/>
      <c r="J20" s="440"/>
      <c r="K20" s="440"/>
    </row>
    <row r="21" spans="1:11" ht="12.75" customHeight="1">
      <c r="A21" s="440"/>
      <c r="B21" s="473"/>
      <c r="C21" s="440"/>
      <c r="D21" s="436"/>
      <c r="E21" s="436"/>
      <c r="F21" s="436"/>
      <c r="G21" s="436"/>
      <c r="H21" s="436"/>
      <c r="I21" s="436"/>
      <c r="J21" s="436"/>
      <c r="K21" s="436"/>
    </row>
    <row r="22" spans="1:11">
      <c r="A22" s="838" t="s">
        <v>508</v>
      </c>
      <c r="B22" s="838"/>
      <c r="C22" s="403" t="s">
        <v>501</v>
      </c>
      <c r="D22" s="403" t="s">
        <v>502</v>
      </c>
      <c r="E22" s="403" t="s">
        <v>503</v>
      </c>
      <c r="F22" s="404" t="s">
        <v>504</v>
      </c>
      <c r="G22" s="404" t="s">
        <v>9</v>
      </c>
      <c r="I22" s="214"/>
    </row>
    <row r="23" spans="1:11">
      <c r="A23" s="838" t="s">
        <v>509</v>
      </c>
      <c r="B23" s="838"/>
      <c r="C23" s="712"/>
      <c r="D23" s="713"/>
      <c r="E23" s="712"/>
      <c r="F23" s="712"/>
      <c r="G23" s="356">
        <f>SUM(C23:F23)</f>
        <v>0</v>
      </c>
      <c r="I23" s="355"/>
    </row>
    <row r="24" spans="1:11">
      <c r="B24" s="355"/>
      <c r="C24" s="202"/>
      <c r="D24" s="214"/>
      <c r="E24" s="214"/>
      <c r="F24" s="410"/>
      <c r="G24" s="214"/>
      <c r="H24" s="214"/>
      <c r="J24" s="214"/>
    </row>
    <row r="25" spans="1:11">
      <c r="A25" s="355"/>
      <c r="B25" s="355"/>
      <c r="C25" s="202"/>
      <c r="F25" s="410"/>
    </row>
    <row r="26" spans="1:11">
      <c r="A26" s="355"/>
      <c r="B26" s="355"/>
      <c r="C26" s="202"/>
      <c r="F26" s="410"/>
    </row>
    <row r="27" spans="1:11">
      <c r="F27" s="410"/>
    </row>
  </sheetData>
  <sheetProtection algorithmName="SHA-512" hashValue="gPeQlQ2LENYnDtl34PZUu/gMWYJArxp0UZkQvFYFoNLI0RLIHcxEM5q+rRRcC9rlCQlRowaVVd3SqlUfQxFsQA==" saltValue="XE+XjjvmTO0EpQTcFE9JpQ==" spinCount="100000" sheet="1" selectLockedCells="1"/>
  <mergeCells count="12">
    <mergeCell ref="J4:K4"/>
    <mergeCell ref="J9:K9"/>
    <mergeCell ref="H9:I9"/>
    <mergeCell ref="F4:G4"/>
    <mergeCell ref="H4:I4"/>
    <mergeCell ref="F9:G9"/>
    <mergeCell ref="A22:B22"/>
    <mergeCell ref="A23:B23"/>
    <mergeCell ref="B4:C4"/>
    <mergeCell ref="D4:E4"/>
    <mergeCell ref="B9:C9"/>
    <mergeCell ref="D9:E9"/>
  </mergeCells>
  <phoneticPr fontId="0" type="noConversion"/>
  <conditionalFormatting sqref="A1:XFD1048576">
    <cfRule type="expression" dxfId="5" priority="1" stopIfTrue="1">
      <formula>CELL("protect",A1)=0</formula>
    </cfRule>
  </conditionalFormatting>
  <pageMargins left="0.53" right="0.46" top="1" bottom="1" header="0.5" footer="0.5"/>
  <pageSetup paperSize="5" scale="94" orientation="landscape" blackAndWhite="1" verticalDpi="300" r:id="rId1"/>
  <headerFooter alignWithMargins="0">
    <oddHeader>&amp;L&amp;F&amp;RCB20 INSURANCE
SCHEDULE 1B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47"/>
  <sheetViews>
    <sheetView zoomScaleNormal="100" zoomScaleSheetLayoutView="75" workbookViewId="0">
      <pane xSplit="1" ySplit="3" topLeftCell="B4" activePane="bottomRight" state="frozen"/>
      <selection activeCell="E25" sqref="E25"/>
      <selection pane="topRight" activeCell="E25" sqref="E25"/>
      <selection pane="bottomLeft" activeCell="E25" sqref="E25"/>
      <selection pane="bottomRight" activeCell="L36" sqref="L36"/>
    </sheetView>
  </sheetViews>
  <sheetFormatPr defaultColWidth="9.140625" defaultRowHeight="12.75"/>
  <cols>
    <col min="1" max="1" width="21.28515625" style="421" customWidth="1"/>
    <col min="2" max="2" width="15.140625" style="421" customWidth="1"/>
    <col min="3" max="3" width="15.28515625" style="421" customWidth="1"/>
    <col min="4" max="4" width="16.7109375" style="421" customWidth="1"/>
    <col min="5" max="13" width="14.7109375" style="421" customWidth="1"/>
    <col min="14" max="16384" width="9.140625" style="421"/>
  </cols>
  <sheetData>
    <row r="1" spans="1:14">
      <c r="A1" s="421" t="str">
        <f>[0]!Name</f>
        <v xml:space="preserve"> SELECT INSURANCE COMPANY</v>
      </c>
      <c r="D1" s="65"/>
      <c r="E1" s="2"/>
      <c r="F1" s="2"/>
    </row>
    <row r="2" spans="1:14">
      <c r="A2" s="421" t="s">
        <v>364</v>
      </c>
      <c r="B2" s="720">
        <f>Cover!reportdate</f>
        <v>0</v>
      </c>
      <c r="C2" s="721"/>
      <c r="D2" s="56"/>
      <c r="E2" s="65"/>
    </row>
    <row r="3" spans="1:14" s="726" customFormat="1" ht="30" customHeight="1">
      <c r="A3" s="722" t="s">
        <v>510</v>
      </c>
      <c r="B3" s="723" t="s">
        <v>511</v>
      </c>
      <c r="C3" s="723" t="s">
        <v>512</v>
      </c>
      <c r="D3" s="723" t="s">
        <v>513</v>
      </c>
      <c r="E3" s="723" t="s">
        <v>514</v>
      </c>
      <c r="F3" s="723" t="s">
        <v>515</v>
      </c>
      <c r="G3" s="723" t="s">
        <v>519</v>
      </c>
      <c r="H3" s="723" t="s">
        <v>520</v>
      </c>
      <c r="I3" s="723" t="s">
        <v>521</v>
      </c>
      <c r="J3" s="723" t="s">
        <v>522</v>
      </c>
      <c r="K3" s="724" t="s">
        <v>523</v>
      </c>
      <c r="L3" s="723" t="s">
        <v>524</v>
      </c>
      <c r="M3" s="723" t="s">
        <v>525</v>
      </c>
      <c r="N3" s="725"/>
    </row>
    <row r="4" spans="1:14">
      <c r="A4" s="727" t="s">
        <v>526</v>
      </c>
      <c r="B4" s="728"/>
      <c r="C4" s="728"/>
      <c r="D4" s="728"/>
      <c r="E4" s="728"/>
      <c r="F4" s="728"/>
      <c r="G4" s="728"/>
      <c r="H4" s="728"/>
      <c r="I4" s="728"/>
      <c r="J4" s="728"/>
      <c r="K4" s="560">
        <f t="shared" ref="K4:K38" si="0">+SUM(B4:J4)</f>
        <v>0</v>
      </c>
      <c r="L4" s="728"/>
      <c r="M4" s="728"/>
    </row>
    <row r="5" spans="1:14">
      <c r="A5" s="729" t="s">
        <v>527</v>
      </c>
      <c r="B5" s="730"/>
      <c r="C5" s="730"/>
      <c r="D5" s="730"/>
      <c r="E5" s="730"/>
      <c r="F5" s="730"/>
      <c r="G5" s="730"/>
      <c r="H5" s="730"/>
      <c r="I5" s="730"/>
      <c r="J5" s="730"/>
      <c r="K5" s="561">
        <f t="shared" si="0"/>
        <v>0</v>
      </c>
      <c r="L5" s="730"/>
      <c r="M5" s="730"/>
    </row>
    <row r="6" spans="1:14">
      <c r="A6" s="729" t="s">
        <v>528</v>
      </c>
      <c r="B6" s="730"/>
      <c r="C6" s="730"/>
      <c r="D6" s="730"/>
      <c r="E6" s="730"/>
      <c r="F6" s="730"/>
      <c r="G6" s="730"/>
      <c r="H6" s="730"/>
      <c r="I6" s="730"/>
      <c r="J6" s="730"/>
      <c r="K6" s="561">
        <f t="shared" si="0"/>
        <v>0</v>
      </c>
      <c r="L6" s="730"/>
      <c r="M6" s="730"/>
    </row>
    <row r="7" spans="1:14">
      <c r="A7" s="729" t="s">
        <v>529</v>
      </c>
      <c r="B7" s="730"/>
      <c r="C7" s="730"/>
      <c r="D7" s="730"/>
      <c r="E7" s="730"/>
      <c r="F7" s="730"/>
      <c r="G7" s="730"/>
      <c r="H7" s="730"/>
      <c r="I7" s="730"/>
      <c r="J7" s="730"/>
      <c r="K7" s="561">
        <f t="shared" si="0"/>
        <v>0</v>
      </c>
      <c r="L7" s="730"/>
      <c r="M7" s="730"/>
    </row>
    <row r="8" spans="1:14">
      <c r="A8" s="729" t="s">
        <v>530</v>
      </c>
      <c r="B8" s="730"/>
      <c r="C8" s="730"/>
      <c r="D8" s="730"/>
      <c r="E8" s="730"/>
      <c r="F8" s="730"/>
      <c r="G8" s="730"/>
      <c r="H8" s="730"/>
      <c r="I8" s="730"/>
      <c r="J8" s="730"/>
      <c r="K8" s="561">
        <f t="shared" si="0"/>
        <v>0</v>
      </c>
      <c r="L8" s="730"/>
      <c r="M8" s="730"/>
    </row>
    <row r="9" spans="1:14">
      <c r="A9" s="729" t="s">
        <v>531</v>
      </c>
      <c r="B9" s="730"/>
      <c r="C9" s="730"/>
      <c r="D9" s="730"/>
      <c r="E9" s="730"/>
      <c r="F9" s="730"/>
      <c r="G9" s="730"/>
      <c r="H9" s="730"/>
      <c r="I9" s="730"/>
      <c r="J9" s="730"/>
      <c r="K9" s="561">
        <f t="shared" si="0"/>
        <v>0</v>
      </c>
      <c r="L9" s="730"/>
      <c r="M9" s="730"/>
    </row>
    <row r="10" spans="1:14">
      <c r="A10" s="729" t="s">
        <v>532</v>
      </c>
      <c r="B10" s="730"/>
      <c r="C10" s="730"/>
      <c r="D10" s="730"/>
      <c r="E10" s="730"/>
      <c r="F10" s="730"/>
      <c r="G10" s="730"/>
      <c r="H10" s="730"/>
      <c r="I10" s="730"/>
      <c r="J10" s="730"/>
      <c r="K10" s="561">
        <f t="shared" si="0"/>
        <v>0</v>
      </c>
      <c r="L10" s="730"/>
      <c r="M10" s="730"/>
    </row>
    <row r="11" spans="1:14">
      <c r="A11" s="729" t="s">
        <v>533</v>
      </c>
      <c r="B11" s="730"/>
      <c r="C11" s="730"/>
      <c r="D11" s="730"/>
      <c r="E11" s="730"/>
      <c r="F11" s="730"/>
      <c r="G11" s="730"/>
      <c r="H11" s="730"/>
      <c r="I11" s="730"/>
      <c r="J11" s="730"/>
      <c r="K11" s="561">
        <f t="shared" si="0"/>
        <v>0</v>
      </c>
      <c r="L11" s="730"/>
      <c r="M11" s="730"/>
    </row>
    <row r="12" spans="1:14">
      <c r="A12" s="729" t="s">
        <v>534</v>
      </c>
      <c r="B12" s="730"/>
      <c r="C12" s="730"/>
      <c r="D12" s="730"/>
      <c r="E12" s="730"/>
      <c r="F12" s="730"/>
      <c r="G12" s="730"/>
      <c r="H12" s="730"/>
      <c r="I12" s="730"/>
      <c r="J12" s="730"/>
      <c r="K12" s="561">
        <f t="shared" si="0"/>
        <v>0</v>
      </c>
      <c r="L12" s="730"/>
      <c r="M12" s="730"/>
    </row>
    <row r="13" spans="1:14">
      <c r="A13" s="729" t="s">
        <v>535</v>
      </c>
      <c r="B13" s="730"/>
      <c r="C13" s="730"/>
      <c r="D13" s="730"/>
      <c r="E13" s="730"/>
      <c r="F13" s="730"/>
      <c r="G13" s="730"/>
      <c r="H13" s="730"/>
      <c r="I13" s="730"/>
      <c r="J13" s="730"/>
      <c r="K13" s="561">
        <f t="shared" si="0"/>
        <v>0</v>
      </c>
      <c r="L13" s="730"/>
      <c r="M13" s="730"/>
    </row>
    <row r="14" spans="1:14">
      <c r="A14" s="729" t="s">
        <v>536</v>
      </c>
      <c r="B14" s="730"/>
      <c r="C14" s="730"/>
      <c r="D14" s="730"/>
      <c r="E14" s="730"/>
      <c r="F14" s="730"/>
      <c r="G14" s="730"/>
      <c r="H14" s="730"/>
      <c r="I14" s="730"/>
      <c r="J14" s="730"/>
      <c r="K14" s="561">
        <f t="shared" si="0"/>
        <v>0</v>
      </c>
      <c r="L14" s="730"/>
      <c r="M14" s="730"/>
    </row>
    <row r="15" spans="1:14">
      <c r="A15" s="729" t="s">
        <v>537</v>
      </c>
      <c r="B15" s="730"/>
      <c r="C15" s="730"/>
      <c r="D15" s="730"/>
      <c r="E15" s="730"/>
      <c r="F15" s="730"/>
      <c r="G15" s="730"/>
      <c r="H15" s="730"/>
      <c r="I15" s="730"/>
      <c r="J15" s="730"/>
      <c r="K15" s="561">
        <f t="shared" si="0"/>
        <v>0</v>
      </c>
      <c r="L15" s="730"/>
      <c r="M15" s="730"/>
    </row>
    <row r="16" spans="1:14">
      <c r="A16" s="729" t="s">
        <v>538</v>
      </c>
      <c r="B16" s="730"/>
      <c r="C16" s="730"/>
      <c r="D16" s="730"/>
      <c r="E16" s="730"/>
      <c r="F16" s="730"/>
      <c r="G16" s="730"/>
      <c r="H16" s="730"/>
      <c r="I16" s="730"/>
      <c r="J16" s="730"/>
      <c r="K16" s="561">
        <f t="shared" si="0"/>
        <v>0</v>
      </c>
      <c r="L16" s="730"/>
      <c r="M16" s="730"/>
    </row>
    <row r="17" spans="1:13">
      <c r="A17" s="729" t="s">
        <v>539</v>
      </c>
      <c r="B17" s="730"/>
      <c r="C17" s="730"/>
      <c r="D17" s="730"/>
      <c r="E17" s="730"/>
      <c r="F17" s="730"/>
      <c r="G17" s="730"/>
      <c r="H17" s="730"/>
      <c r="I17" s="730"/>
      <c r="J17" s="730"/>
      <c r="K17" s="561">
        <f t="shared" si="0"/>
        <v>0</v>
      </c>
      <c r="L17" s="730"/>
      <c r="M17" s="730"/>
    </row>
    <row r="18" spans="1:13">
      <c r="A18" s="729" t="s">
        <v>540</v>
      </c>
      <c r="B18" s="730"/>
      <c r="C18" s="730"/>
      <c r="D18" s="730"/>
      <c r="E18" s="730"/>
      <c r="F18" s="730"/>
      <c r="G18" s="730"/>
      <c r="H18" s="730"/>
      <c r="I18" s="730"/>
      <c r="J18" s="730"/>
      <c r="K18" s="561">
        <f t="shared" si="0"/>
        <v>0</v>
      </c>
      <c r="L18" s="730"/>
      <c r="M18" s="730"/>
    </row>
    <row r="19" spans="1:13">
      <c r="A19" s="729" t="s">
        <v>541</v>
      </c>
      <c r="B19" s="730"/>
      <c r="C19" s="730"/>
      <c r="D19" s="730"/>
      <c r="E19" s="730"/>
      <c r="F19" s="730"/>
      <c r="G19" s="730"/>
      <c r="H19" s="730"/>
      <c r="I19" s="730"/>
      <c r="J19" s="730"/>
      <c r="K19" s="561">
        <f t="shared" si="0"/>
        <v>0</v>
      </c>
      <c r="L19" s="730"/>
      <c r="M19" s="730"/>
    </row>
    <row r="20" spans="1:13">
      <c r="A20" s="729" t="s">
        <v>542</v>
      </c>
      <c r="B20" s="730"/>
      <c r="C20" s="730"/>
      <c r="D20" s="730"/>
      <c r="E20" s="730"/>
      <c r="F20" s="730"/>
      <c r="G20" s="730"/>
      <c r="H20" s="730"/>
      <c r="I20" s="730"/>
      <c r="J20" s="730"/>
      <c r="K20" s="561">
        <f t="shared" si="0"/>
        <v>0</v>
      </c>
      <c r="L20" s="730"/>
      <c r="M20" s="730"/>
    </row>
    <row r="21" spans="1:13">
      <c r="A21" s="729" t="s">
        <v>543</v>
      </c>
      <c r="B21" s="730"/>
      <c r="C21" s="730"/>
      <c r="D21" s="730"/>
      <c r="E21" s="730"/>
      <c r="F21" s="730"/>
      <c r="G21" s="730"/>
      <c r="H21" s="730"/>
      <c r="I21" s="730"/>
      <c r="J21" s="730"/>
      <c r="K21" s="561">
        <f t="shared" si="0"/>
        <v>0</v>
      </c>
      <c r="L21" s="730"/>
      <c r="M21" s="730"/>
    </row>
    <row r="22" spans="1:13">
      <c r="A22" s="729" t="s">
        <v>544</v>
      </c>
      <c r="B22" s="730"/>
      <c r="C22" s="730"/>
      <c r="D22" s="730"/>
      <c r="E22" s="730"/>
      <c r="F22" s="730"/>
      <c r="G22" s="730"/>
      <c r="H22" s="730"/>
      <c r="I22" s="730"/>
      <c r="J22" s="730"/>
      <c r="K22" s="561">
        <f t="shared" si="0"/>
        <v>0</v>
      </c>
      <c r="L22" s="730"/>
      <c r="M22" s="730"/>
    </row>
    <row r="23" spans="1:13">
      <c r="A23" s="729" t="s">
        <v>545</v>
      </c>
      <c r="B23" s="730"/>
      <c r="C23" s="730"/>
      <c r="D23" s="730"/>
      <c r="E23" s="730"/>
      <c r="F23" s="730"/>
      <c r="G23" s="730"/>
      <c r="H23" s="730"/>
      <c r="I23" s="730"/>
      <c r="J23" s="730"/>
      <c r="K23" s="561">
        <f t="shared" si="0"/>
        <v>0</v>
      </c>
      <c r="L23" s="730"/>
      <c r="M23" s="730"/>
    </row>
    <row r="24" spans="1:13">
      <c r="A24" s="729" t="s">
        <v>546</v>
      </c>
      <c r="B24" s="730"/>
      <c r="C24" s="730"/>
      <c r="D24" s="730"/>
      <c r="E24" s="730"/>
      <c r="F24" s="730"/>
      <c r="G24" s="730"/>
      <c r="H24" s="730"/>
      <c r="I24" s="730"/>
      <c r="J24" s="730"/>
      <c r="K24" s="561">
        <f t="shared" si="0"/>
        <v>0</v>
      </c>
      <c r="L24" s="730"/>
      <c r="M24" s="730"/>
    </row>
    <row r="25" spans="1:13">
      <c r="A25" s="729" t="s">
        <v>547</v>
      </c>
      <c r="B25" s="730"/>
      <c r="C25" s="730"/>
      <c r="D25" s="730"/>
      <c r="E25" s="730"/>
      <c r="F25" s="730"/>
      <c r="G25" s="730"/>
      <c r="H25" s="730"/>
      <c r="I25" s="730"/>
      <c r="J25" s="730"/>
      <c r="K25" s="561">
        <f t="shared" si="0"/>
        <v>0</v>
      </c>
      <c r="L25" s="730"/>
      <c r="M25" s="730"/>
    </row>
    <row r="26" spans="1:13">
      <c r="A26" s="729" t="s">
        <v>548</v>
      </c>
      <c r="B26" s="730"/>
      <c r="C26" s="730"/>
      <c r="D26" s="730"/>
      <c r="E26" s="730"/>
      <c r="F26" s="730"/>
      <c r="G26" s="730"/>
      <c r="H26" s="730"/>
      <c r="I26" s="730"/>
      <c r="J26" s="730"/>
      <c r="K26" s="561">
        <f t="shared" si="0"/>
        <v>0</v>
      </c>
      <c r="L26" s="730"/>
      <c r="M26" s="730"/>
    </row>
    <row r="27" spans="1:13">
      <c r="A27" s="729" t="s">
        <v>549</v>
      </c>
      <c r="B27" s="730"/>
      <c r="C27" s="730"/>
      <c r="D27" s="730"/>
      <c r="E27" s="730"/>
      <c r="F27" s="730"/>
      <c r="G27" s="730"/>
      <c r="H27" s="730"/>
      <c r="I27" s="730"/>
      <c r="J27" s="730"/>
      <c r="K27" s="561">
        <f t="shared" si="0"/>
        <v>0</v>
      </c>
      <c r="L27" s="730"/>
      <c r="M27" s="730"/>
    </row>
    <row r="28" spans="1:13">
      <c r="A28" s="729" t="s">
        <v>550</v>
      </c>
      <c r="B28" s="730"/>
      <c r="C28" s="730"/>
      <c r="D28" s="730"/>
      <c r="E28" s="730"/>
      <c r="F28" s="730"/>
      <c r="G28" s="730"/>
      <c r="H28" s="730"/>
      <c r="I28" s="730"/>
      <c r="J28" s="730"/>
      <c r="K28" s="561">
        <f t="shared" si="0"/>
        <v>0</v>
      </c>
      <c r="L28" s="730"/>
      <c r="M28" s="730"/>
    </row>
    <row r="29" spans="1:13">
      <c r="A29" s="729" t="s">
        <v>551</v>
      </c>
      <c r="B29" s="730"/>
      <c r="C29" s="730"/>
      <c r="D29" s="730"/>
      <c r="E29" s="730"/>
      <c r="F29" s="730"/>
      <c r="G29" s="730"/>
      <c r="H29" s="730"/>
      <c r="I29" s="730"/>
      <c r="J29" s="730"/>
      <c r="K29" s="561">
        <f t="shared" si="0"/>
        <v>0</v>
      </c>
      <c r="L29" s="730"/>
      <c r="M29" s="730"/>
    </row>
    <row r="30" spans="1:13">
      <c r="A30" s="729" t="s">
        <v>552</v>
      </c>
      <c r="B30" s="730"/>
      <c r="C30" s="730"/>
      <c r="D30" s="730"/>
      <c r="E30" s="730"/>
      <c r="F30" s="730"/>
      <c r="G30" s="730"/>
      <c r="H30" s="730"/>
      <c r="I30" s="730"/>
      <c r="J30" s="730"/>
      <c r="K30" s="561">
        <f t="shared" si="0"/>
        <v>0</v>
      </c>
      <c r="L30" s="730"/>
      <c r="M30" s="730"/>
    </row>
    <row r="31" spans="1:13">
      <c r="A31" s="729" t="s">
        <v>553</v>
      </c>
      <c r="B31" s="730"/>
      <c r="C31" s="730"/>
      <c r="D31" s="730"/>
      <c r="E31" s="730"/>
      <c r="F31" s="730"/>
      <c r="G31" s="730"/>
      <c r="H31" s="730"/>
      <c r="I31" s="730"/>
      <c r="J31" s="730"/>
      <c r="K31" s="561">
        <f t="shared" si="0"/>
        <v>0</v>
      </c>
      <c r="L31" s="730"/>
      <c r="M31" s="730"/>
    </row>
    <row r="32" spans="1:13">
      <c r="A32" s="729" t="s">
        <v>554</v>
      </c>
      <c r="B32" s="730"/>
      <c r="C32" s="730"/>
      <c r="D32" s="730"/>
      <c r="E32" s="730"/>
      <c r="F32" s="730"/>
      <c r="G32" s="730"/>
      <c r="H32" s="730"/>
      <c r="I32" s="730"/>
      <c r="J32" s="730"/>
      <c r="K32" s="561">
        <f t="shared" si="0"/>
        <v>0</v>
      </c>
      <c r="L32" s="730"/>
      <c r="M32" s="730"/>
    </row>
    <row r="33" spans="1:13">
      <c r="A33" s="729" t="s">
        <v>555</v>
      </c>
      <c r="B33" s="730"/>
      <c r="C33" s="730"/>
      <c r="D33" s="730"/>
      <c r="E33" s="730"/>
      <c r="F33" s="730"/>
      <c r="G33" s="730"/>
      <c r="H33" s="730"/>
      <c r="I33" s="730"/>
      <c r="J33" s="730"/>
      <c r="K33" s="561">
        <f t="shared" si="0"/>
        <v>0</v>
      </c>
      <c r="L33" s="730"/>
      <c r="M33" s="730"/>
    </row>
    <row r="34" spans="1:13">
      <c r="A34" s="729" t="s">
        <v>556</v>
      </c>
      <c r="B34" s="730"/>
      <c r="C34" s="730"/>
      <c r="D34" s="730"/>
      <c r="E34" s="730"/>
      <c r="F34" s="730"/>
      <c r="G34" s="730"/>
      <c r="H34" s="730"/>
      <c r="I34" s="730"/>
      <c r="J34" s="730"/>
      <c r="K34" s="561">
        <f t="shared" si="0"/>
        <v>0</v>
      </c>
      <c r="L34" s="730"/>
      <c r="M34" s="730"/>
    </row>
    <row r="35" spans="1:13">
      <c r="A35" s="729" t="s">
        <v>557</v>
      </c>
      <c r="B35" s="730"/>
      <c r="C35" s="730"/>
      <c r="D35" s="730"/>
      <c r="E35" s="730"/>
      <c r="F35" s="730"/>
      <c r="G35" s="730"/>
      <c r="H35" s="730"/>
      <c r="I35" s="730"/>
      <c r="J35" s="730"/>
      <c r="K35" s="561">
        <f t="shared" si="0"/>
        <v>0</v>
      </c>
      <c r="L35" s="730"/>
      <c r="M35" s="730"/>
    </row>
    <row r="36" spans="1:13">
      <c r="A36" s="729" t="s">
        <v>558</v>
      </c>
      <c r="B36" s="730"/>
      <c r="C36" s="730"/>
      <c r="D36" s="730"/>
      <c r="E36" s="730"/>
      <c r="F36" s="730"/>
      <c r="G36" s="730"/>
      <c r="H36" s="730"/>
      <c r="I36" s="730"/>
      <c r="J36" s="730"/>
      <c r="K36" s="561">
        <f t="shared" si="0"/>
        <v>0</v>
      </c>
      <c r="L36" s="730"/>
      <c r="M36" s="730"/>
    </row>
    <row r="37" spans="1:13">
      <c r="A37" s="731" t="s">
        <v>559</v>
      </c>
      <c r="B37" s="732"/>
      <c r="C37" s="732"/>
      <c r="D37" s="732"/>
      <c r="E37" s="732"/>
      <c r="F37" s="732"/>
      <c r="G37" s="732"/>
      <c r="H37" s="732"/>
      <c r="I37" s="732"/>
      <c r="J37" s="732"/>
      <c r="K37" s="561">
        <f t="shared" si="0"/>
        <v>0</v>
      </c>
      <c r="L37" s="732"/>
      <c r="M37" s="732"/>
    </row>
    <row r="38" spans="1:13">
      <c r="A38" s="733" t="s">
        <v>560</v>
      </c>
      <c r="B38" s="411">
        <f t="shared" ref="B38:J38" si="1">+SUM(B4:B37)</f>
        <v>0</v>
      </c>
      <c r="C38" s="411">
        <f t="shared" si="1"/>
        <v>0</v>
      </c>
      <c r="D38" s="411">
        <f t="shared" si="1"/>
        <v>0</v>
      </c>
      <c r="E38" s="411">
        <f t="shared" si="1"/>
        <v>0</v>
      </c>
      <c r="F38" s="411">
        <f t="shared" si="1"/>
        <v>0</v>
      </c>
      <c r="G38" s="411">
        <f t="shared" si="1"/>
        <v>0</v>
      </c>
      <c r="H38" s="411">
        <f t="shared" si="1"/>
        <v>0</v>
      </c>
      <c r="I38" s="411">
        <f t="shared" si="1"/>
        <v>0</v>
      </c>
      <c r="J38" s="411">
        <f t="shared" si="1"/>
        <v>0</v>
      </c>
      <c r="K38" s="412">
        <f t="shared" si="0"/>
        <v>0</v>
      </c>
      <c r="L38" s="411">
        <f>+SUM(L4:L37)</f>
        <v>0</v>
      </c>
      <c r="M38" s="411">
        <f>+SUM(M4:M37)</f>
        <v>0</v>
      </c>
    </row>
    <row r="39" spans="1:13">
      <c r="A39" s="413" t="s">
        <v>561</v>
      </c>
      <c r="B39" s="414"/>
      <c r="C39" s="734"/>
      <c r="D39" s="414"/>
      <c r="E39" s="414"/>
      <c r="F39" s="414"/>
      <c r="G39" s="414"/>
      <c r="H39" s="414"/>
      <c r="I39" s="414"/>
      <c r="J39" s="414"/>
      <c r="K39" s="415"/>
      <c r="L39" s="414"/>
      <c r="M39" s="414"/>
    </row>
    <row r="40" spans="1:13" s="736" customFormat="1" ht="15">
      <c r="A40" s="416" t="s">
        <v>562</v>
      </c>
      <c r="B40" s="735"/>
      <c r="C40" s="735"/>
      <c r="D40" s="735"/>
      <c r="E40" s="735"/>
      <c r="F40" s="735"/>
      <c r="G40" s="735"/>
      <c r="H40" s="735"/>
      <c r="I40" s="735"/>
      <c r="J40" s="735"/>
      <c r="K40" s="417">
        <f>+SUM(B40:J40)</f>
        <v>0</v>
      </c>
      <c r="L40" s="735"/>
      <c r="M40" s="735"/>
    </row>
    <row r="41" spans="1:13" s="736" customFormat="1" ht="15">
      <c r="A41" s="418" t="s">
        <v>563</v>
      </c>
      <c r="B41" s="737"/>
      <c r="C41" s="737"/>
      <c r="D41" s="737"/>
      <c r="E41" s="737"/>
      <c r="F41" s="737"/>
      <c r="G41" s="737"/>
      <c r="H41" s="737"/>
      <c r="I41" s="737"/>
      <c r="J41" s="737"/>
      <c r="K41" s="419">
        <f>+SUM(B41:J41)</f>
        <v>0</v>
      </c>
      <c r="L41" s="737"/>
      <c r="M41" s="737"/>
    </row>
    <row r="42" spans="1:13" ht="13.5" thickBot="1">
      <c r="A42" s="731" t="s">
        <v>564</v>
      </c>
      <c r="B42" s="420">
        <f t="shared" ref="B42:J42" si="2">SUM(B38-B40-B41)</f>
        <v>0</v>
      </c>
      <c r="C42" s="420">
        <f t="shared" si="2"/>
        <v>0</v>
      </c>
      <c r="D42" s="420">
        <f t="shared" si="2"/>
        <v>0</v>
      </c>
      <c r="E42" s="420">
        <f t="shared" si="2"/>
        <v>0</v>
      </c>
      <c r="F42" s="420">
        <f t="shared" si="2"/>
        <v>0</v>
      </c>
      <c r="G42" s="420">
        <f t="shared" si="2"/>
        <v>0</v>
      </c>
      <c r="H42" s="420">
        <f t="shared" si="2"/>
        <v>0</v>
      </c>
      <c r="I42" s="420">
        <f t="shared" si="2"/>
        <v>0</v>
      </c>
      <c r="J42" s="420">
        <f t="shared" si="2"/>
        <v>0</v>
      </c>
      <c r="K42" s="420">
        <f>+SUM(B42:J42)</f>
        <v>0</v>
      </c>
      <c r="L42" s="420">
        <f>SUM(L38-L40-L41)</f>
        <v>0</v>
      </c>
      <c r="M42" s="420">
        <f>SUM(M38-M40-M41)</f>
        <v>0</v>
      </c>
    </row>
    <row r="43" spans="1:13" ht="13.5" thickTop="1"/>
    <row r="44" spans="1:13">
      <c r="K44" s="414"/>
    </row>
    <row r="45" spans="1:13">
      <c r="K45" s="414"/>
    </row>
    <row r="46" spans="1:13">
      <c r="K46" s="414"/>
    </row>
    <row r="47" spans="1:13">
      <c r="K47" s="414"/>
    </row>
  </sheetData>
  <sheetProtection algorithmName="SHA-512" hashValue="Mb5551n95xYIxrvkCDbLtWXumOQ+PMeV1DyGEsbXXHy5SI2XMTE+gbVjGOWnL+VazxWC9kzrmho4g9IkezXVDA==" saltValue="Sd8MbcLkLj9vT9FDPFNeLw==" spinCount="100000" sheet="1" selectLockedCells="1"/>
  <dataConsolidate/>
  <phoneticPr fontId="13" type="noConversion"/>
  <conditionalFormatting sqref="A1:XFD1048576">
    <cfRule type="expression" dxfId="4" priority="1" stopIfTrue="1">
      <formula>CELL("protect",A1)=0</formula>
    </cfRule>
  </conditionalFormatting>
  <pageMargins left="0.35" right="0.18" top="0.41" bottom="0.51" header="0.19" footer="0.23"/>
  <pageSetup paperSize="5" scale="86" fitToWidth="2" orientation="landscape" blackAndWhite="1" r:id="rId1"/>
  <headerFooter alignWithMargins="0">
    <oddHeader>&amp;L&amp;F&amp;RCB 201</oddHeader>
    <oddFooter>&amp;L&amp;D&amp;R&amp;P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51"/>
  <sheetViews>
    <sheetView zoomScale="80" zoomScaleNormal="80" zoomScaleSheetLayoutView="75" workbookViewId="0">
      <pane xSplit="1" ySplit="3" topLeftCell="B4" activePane="bottomRight" state="frozen"/>
      <selection activeCell="K426" sqref="K426"/>
      <selection pane="topRight" activeCell="K426" sqref="K426"/>
      <selection pane="bottomLeft" activeCell="K426" sqref="K426"/>
      <selection pane="bottomRight" activeCell="B5" sqref="B5"/>
    </sheetView>
  </sheetViews>
  <sheetFormatPr defaultColWidth="9.140625" defaultRowHeight="12.75"/>
  <cols>
    <col min="1" max="1" width="38.5703125" style="421" customWidth="1"/>
    <col min="2" max="2" width="14" style="421" customWidth="1"/>
    <col min="3" max="3" width="14.85546875" style="421" customWidth="1"/>
    <col min="4" max="4" width="14.140625" style="421" customWidth="1"/>
    <col min="5" max="5" width="14.42578125" style="421" customWidth="1"/>
    <col min="6" max="6" width="13.85546875" style="421" customWidth="1"/>
    <col min="7" max="7" width="14" style="421" customWidth="1"/>
    <col min="8" max="8" width="13.42578125" style="421" customWidth="1"/>
    <col min="9" max="13" width="14" style="421" customWidth="1"/>
    <col min="14" max="14" width="15.140625" style="421" customWidth="1"/>
    <col min="15" max="15" width="14" style="421" customWidth="1"/>
    <col min="16" max="16" width="14.5703125" style="421" customWidth="1"/>
    <col min="17" max="16384" width="9.140625" style="421"/>
  </cols>
  <sheetData>
    <row r="1" spans="1:16">
      <c r="A1" s="421" t="str">
        <f>[0]!Name</f>
        <v xml:space="preserve"> SELECT INSURANCE COMPANY</v>
      </c>
      <c r="D1" s="65"/>
      <c r="E1" s="422"/>
      <c r="F1" s="2"/>
      <c r="G1" s="414"/>
      <c r="H1" s="2"/>
      <c r="I1" s="65"/>
    </row>
    <row r="2" spans="1:16">
      <c r="A2" s="421" t="s">
        <v>363</v>
      </c>
      <c r="B2" s="720">
        <f>Cover!reportdate</f>
        <v>0</v>
      </c>
      <c r="C2" s="721"/>
      <c r="D2" s="56"/>
      <c r="E2" s="423"/>
      <c r="F2" s="65"/>
      <c r="G2" s="423"/>
    </row>
    <row r="3" spans="1:16" s="726" customFormat="1" ht="39.75" customHeight="1">
      <c r="A3" s="738" t="s">
        <v>565</v>
      </c>
      <c r="B3" s="739" t="s">
        <v>566</v>
      </c>
      <c r="C3" s="739" t="s">
        <v>567</v>
      </c>
      <c r="D3" s="739" t="s">
        <v>568</v>
      </c>
      <c r="E3" s="739" t="s">
        <v>569</v>
      </c>
      <c r="F3" s="739" t="s">
        <v>570</v>
      </c>
      <c r="G3" s="739" t="s">
        <v>571</v>
      </c>
      <c r="H3" s="739" t="s">
        <v>572</v>
      </c>
      <c r="I3" s="739" t="s">
        <v>573</v>
      </c>
      <c r="J3" s="739" t="s">
        <v>574</v>
      </c>
      <c r="K3" s="739" t="s">
        <v>575</v>
      </c>
      <c r="L3" s="739" t="s">
        <v>576</v>
      </c>
      <c r="M3" s="739" t="s">
        <v>577</v>
      </c>
      <c r="N3" s="739" t="s">
        <v>578</v>
      </c>
      <c r="O3" s="739" t="s">
        <v>579</v>
      </c>
      <c r="P3" s="740" t="s">
        <v>9</v>
      </c>
    </row>
    <row r="4" spans="1:16">
      <c r="A4" s="760" t="s">
        <v>845</v>
      </c>
      <c r="B4" s="424">
        <f t="shared" ref="B4:O4" si="0">B5+B6+B11+B12</f>
        <v>0</v>
      </c>
      <c r="C4" s="424">
        <f t="shared" si="0"/>
        <v>0</v>
      </c>
      <c r="D4" s="424">
        <f t="shared" si="0"/>
        <v>0</v>
      </c>
      <c r="E4" s="424">
        <f t="shared" si="0"/>
        <v>0</v>
      </c>
      <c r="F4" s="424">
        <f t="shared" si="0"/>
        <v>0</v>
      </c>
      <c r="G4" s="424">
        <f t="shared" si="0"/>
        <v>0</v>
      </c>
      <c r="H4" s="424">
        <f t="shared" si="0"/>
        <v>0</v>
      </c>
      <c r="I4" s="424">
        <f t="shared" si="0"/>
        <v>0</v>
      </c>
      <c r="J4" s="424">
        <f t="shared" si="0"/>
        <v>0</v>
      </c>
      <c r="K4" s="424">
        <f t="shared" si="0"/>
        <v>0</v>
      </c>
      <c r="L4" s="424">
        <f t="shared" si="0"/>
        <v>0</v>
      </c>
      <c r="M4" s="424">
        <f t="shared" si="0"/>
        <v>0</v>
      </c>
      <c r="N4" s="424">
        <f t="shared" si="0"/>
        <v>0</v>
      </c>
      <c r="O4" s="424">
        <f t="shared" si="0"/>
        <v>0</v>
      </c>
      <c r="P4" s="425">
        <f t="shared" ref="P4:P14" si="1">+SUM(B4:O4)</f>
        <v>0</v>
      </c>
    </row>
    <row r="5" spans="1:16">
      <c r="A5" s="421" t="s">
        <v>580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425">
        <f t="shared" si="1"/>
        <v>0</v>
      </c>
    </row>
    <row r="6" spans="1:16">
      <c r="A6" s="198" t="s">
        <v>1243</v>
      </c>
      <c r="B6" s="426">
        <f>B7+B8+B9+B10</f>
        <v>0</v>
      </c>
      <c r="C6" s="426">
        <f t="shared" ref="C6:O6" si="2">C7+C8</f>
        <v>0</v>
      </c>
      <c r="D6" s="426">
        <f t="shared" si="2"/>
        <v>0</v>
      </c>
      <c r="E6" s="426">
        <f t="shared" si="2"/>
        <v>0</v>
      </c>
      <c r="F6" s="426">
        <f t="shared" si="2"/>
        <v>0</v>
      </c>
      <c r="G6" s="426">
        <f t="shared" si="2"/>
        <v>0</v>
      </c>
      <c r="H6" s="426">
        <f t="shared" si="2"/>
        <v>0</v>
      </c>
      <c r="I6" s="426">
        <f t="shared" si="2"/>
        <v>0</v>
      </c>
      <c r="J6" s="426">
        <f t="shared" si="2"/>
        <v>0</v>
      </c>
      <c r="K6" s="426">
        <f t="shared" si="2"/>
        <v>0</v>
      </c>
      <c r="L6" s="426">
        <f t="shared" si="2"/>
        <v>0</v>
      </c>
      <c r="M6" s="426">
        <f t="shared" si="2"/>
        <v>0</v>
      </c>
      <c r="N6" s="426">
        <f t="shared" si="2"/>
        <v>0</v>
      </c>
      <c r="O6" s="426">
        <f t="shared" si="2"/>
        <v>0</v>
      </c>
      <c r="P6" s="425">
        <f t="shared" si="1"/>
        <v>0</v>
      </c>
    </row>
    <row r="7" spans="1:16">
      <c r="A7" s="421" t="s">
        <v>581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425">
        <f t="shared" si="1"/>
        <v>0</v>
      </c>
    </row>
    <row r="8" spans="1:16">
      <c r="A8" s="421" t="s">
        <v>582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425">
        <f t="shared" si="1"/>
        <v>0</v>
      </c>
    </row>
    <row r="9" spans="1:16">
      <c r="A9" s="421" t="s">
        <v>583</v>
      </c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425">
        <f t="shared" si="1"/>
        <v>0</v>
      </c>
    </row>
    <row r="10" spans="1:16">
      <c r="A10" s="421" t="s">
        <v>584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425">
        <f t="shared" si="1"/>
        <v>0</v>
      </c>
    </row>
    <row r="11" spans="1:16">
      <c r="A11" s="421" t="s">
        <v>585</v>
      </c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425">
        <f t="shared" si="1"/>
        <v>0</v>
      </c>
    </row>
    <row r="12" spans="1:16">
      <c r="A12" s="421" t="s">
        <v>586</v>
      </c>
      <c r="B12" s="426">
        <f t="shared" ref="B12:O12" si="3">B13+B14</f>
        <v>0</v>
      </c>
      <c r="C12" s="426">
        <f t="shared" si="3"/>
        <v>0</v>
      </c>
      <c r="D12" s="426">
        <f t="shared" si="3"/>
        <v>0</v>
      </c>
      <c r="E12" s="426">
        <f t="shared" si="3"/>
        <v>0</v>
      </c>
      <c r="F12" s="426">
        <f t="shared" si="3"/>
        <v>0</v>
      </c>
      <c r="G12" s="426">
        <f t="shared" si="3"/>
        <v>0</v>
      </c>
      <c r="H12" s="426">
        <f t="shared" si="3"/>
        <v>0</v>
      </c>
      <c r="I12" s="426">
        <f t="shared" si="3"/>
        <v>0</v>
      </c>
      <c r="J12" s="426">
        <f t="shared" si="3"/>
        <v>0</v>
      </c>
      <c r="K12" s="426">
        <f t="shared" si="3"/>
        <v>0</v>
      </c>
      <c r="L12" s="426">
        <f t="shared" si="3"/>
        <v>0</v>
      </c>
      <c r="M12" s="426">
        <f t="shared" si="3"/>
        <v>0</v>
      </c>
      <c r="N12" s="426">
        <f t="shared" si="3"/>
        <v>0</v>
      </c>
      <c r="O12" s="426">
        <f t="shared" si="3"/>
        <v>0</v>
      </c>
      <c r="P12" s="425">
        <f t="shared" si="1"/>
        <v>0</v>
      </c>
    </row>
    <row r="13" spans="1:16">
      <c r="A13" s="742" t="s">
        <v>587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425">
        <f t="shared" si="1"/>
        <v>0</v>
      </c>
    </row>
    <row r="14" spans="1:16">
      <c r="A14" s="743"/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425">
        <f t="shared" si="1"/>
        <v>0</v>
      </c>
    </row>
    <row r="15" spans="1:16">
      <c r="A15" s="427"/>
      <c r="B15" s="428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30"/>
      <c r="P15" s="425"/>
    </row>
    <row r="16" spans="1:16">
      <c r="A16" s="414" t="s">
        <v>588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425">
        <f t="shared" ref="P16:P22" si="4">+SUM(B16:O16)</f>
        <v>0</v>
      </c>
    </row>
    <row r="17" spans="1:16">
      <c r="A17" s="421" t="s">
        <v>589</v>
      </c>
      <c r="B17" s="426">
        <f t="shared" ref="B17:O17" si="5">SUM(B18:B22)</f>
        <v>0</v>
      </c>
      <c r="C17" s="426">
        <f t="shared" si="5"/>
        <v>0</v>
      </c>
      <c r="D17" s="426">
        <f t="shared" si="5"/>
        <v>0</v>
      </c>
      <c r="E17" s="426">
        <f t="shared" si="5"/>
        <v>0</v>
      </c>
      <c r="F17" s="426">
        <f t="shared" si="5"/>
        <v>0</v>
      </c>
      <c r="G17" s="426">
        <f t="shared" si="5"/>
        <v>0</v>
      </c>
      <c r="H17" s="426">
        <f t="shared" si="5"/>
        <v>0</v>
      </c>
      <c r="I17" s="426">
        <f t="shared" si="5"/>
        <v>0</v>
      </c>
      <c r="J17" s="426">
        <f t="shared" si="5"/>
        <v>0</v>
      </c>
      <c r="K17" s="426">
        <f t="shared" si="5"/>
        <v>0</v>
      </c>
      <c r="L17" s="426">
        <f t="shared" si="5"/>
        <v>0</v>
      </c>
      <c r="M17" s="426">
        <f t="shared" si="5"/>
        <v>0</v>
      </c>
      <c r="N17" s="426">
        <f t="shared" si="5"/>
        <v>0</v>
      </c>
      <c r="O17" s="426">
        <f t="shared" si="5"/>
        <v>0</v>
      </c>
      <c r="P17" s="425">
        <f t="shared" si="4"/>
        <v>0</v>
      </c>
    </row>
    <row r="18" spans="1:16">
      <c r="A18" s="421" t="s">
        <v>590</v>
      </c>
      <c r="B18" s="741"/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  <c r="P18" s="425">
        <f t="shared" si="4"/>
        <v>0</v>
      </c>
    </row>
    <row r="19" spans="1:16">
      <c r="A19" s="421" t="s">
        <v>591</v>
      </c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425">
        <f t="shared" si="4"/>
        <v>0</v>
      </c>
    </row>
    <row r="20" spans="1:16">
      <c r="A20" s="421" t="s">
        <v>592</v>
      </c>
      <c r="B20" s="741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425">
        <f t="shared" si="4"/>
        <v>0</v>
      </c>
    </row>
    <row r="21" spans="1:16">
      <c r="A21" s="421" t="s">
        <v>593</v>
      </c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425">
        <f t="shared" si="4"/>
        <v>0</v>
      </c>
    </row>
    <row r="22" spans="1:16">
      <c r="A22" s="421" t="s">
        <v>594</v>
      </c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425">
        <f t="shared" si="4"/>
        <v>0</v>
      </c>
    </row>
    <row r="23" spans="1:16">
      <c r="B23" s="428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30"/>
    </row>
    <row r="24" spans="1:16">
      <c r="A24" s="421" t="s">
        <v>595</v>
      </c>
      <c r="B24" s="426">
        <f t="shared" ref="B24:O24" si="6">SUM(B25:B28)+SUM(B34:B39)</f>
        <v>0</v>
      </c>
      <c r="C24" s="426">
        <f t="shared" si="6"/>
        <v>0</v>
      </c>
      <c r="D24" s="426">
        <f t="shared" si="6"/>
        <v>0</v>
      </c>
      <c r="E24" s="426">
        <f t="shared" si="6"/>
        <v>0</v>
      </c>
      <c r="F24" s="426">
        <f t="shared" si="6"/>
        <v>0</v>
      </c>
      <c r="G24" s="426">
        <f t="shared" si="6"/>
        <v>0</v>
      </c>
      <c r="H24" s="426">
        <f t="shared" si="6"/>
        <v>0</v>
      </c>
      <c r="I24" s="426">
        <f t="shared" si="6"/>
        <v>0</v>
      </c>
      <c r="J24" s="426">
        <f t="shared" si="6"/>
        <v>0</v>
      </c>
      <c r="K24" s="426">
        <f t="shared" si="6"/>
        <v>0</v>
      </c>
      <c r="L24" s="426">
        <f t="shared" si="6"/>
        <v>0</v>
      </c>
      <c r="M24" s="426">
        <f t="shared" si="6"/>
        <v>0</v>
      </c>
      <c r="N24" s="426">
        <f t="shared" si="6"/>
        <v>0</v>
      </c>
      <c r="O24" s="426">
        <f t="shared" si="6"/>
        <v>0</v>
      </c>
      <c r="P24" s="425">
        <f t="shared" ref="P24:P39" si="7">+SUM(B24:O24)</f>
        <v>0</v>
      </c>
    </row>
    <row r="25" spans="1:16">
      <c r="A25" s="421" t="s">
        <v>596</v>
      </c>
      <c r="B25" s="741"/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425">
        <f t="shared" si="7"/>
        <v>0</v>
      </c>
    </row>
    <row r="26" spans="1:16">
      <c r="A26" s="421" t="s">
        <v>597</v>
      </c>
      <c r="B26" s="741"/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425">
        <f t="shared" si="7"/>
        <v>0</v>
      </c>
    </row>
    <row r="27" spans="1:16">
      <c r="A27" s="421" t="s">
        <v>598</v>
      </c>
      <c r="B27" s="741"/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425">
        <f t="shared" si="7"/>
        <v>0</v>
      </c>
    </row>
    <row r="28" spans="1:16">
      <c r="A28" s="421" t="s">
        <v>599</v>
      </c>
      <c r="B28" s="426">
        <f t="shared" ref="B28:O28" si="8">SUM(B29:B33)</f>
        <v>0</v>
      </c>
      <c r="C28" s="426">
        <f t="shared" si="8"/>
        <v>0</v>
      </c>
      <c r="D28" s="426">
        <f t="shared" si="8"/>
        <v>0</v>
      </c>
      <c r="E28" s="426">
        <f t="shared" si="8"/>
        <v>0</v>
      </c>
      <c r="F28" s="426">
        <f t="shared" si="8"/>
        <v>0</v>
      </c>
      <c r="G28" s="426">
        <f t="shared" si="8"/>
        <v>0</v>
      </c>
      <c r="H28" s="426">
        <f t="shared" si="8"/>
        <v>0</v>
      </c>
      <c r="I28" s="426">
        <f t="shared" si="8"/>
        <v>0</v>
      </c>
      <c r="J28" s="426">
        <f t="shared" si="8"/>
        <v>0</v>
      </c>
      <c r="K28" s="426">
        <f t="shared" si="8"/>
        <v>0</v>
      </c>
      <c r="L28" s="426">
        <f t="shared" si="8"/>
        <v>0</v>
      </c>
      <c r="M28" s="426">
        <f t="shared" si="8"/>
        <v>0</v>
      </c>
      <c r="N28" s="426">
        <f t="shared" si="8"/>
        <v>0</v>
      </c>
      <c r="O28" s="426">
        <f t="shared" si="8"/>
        <v>0</v>
      </c>
      <c r="P28" s="425">
        <f t="shared" si="7"/>
        <v>0</v>
      </c>
    </row>
    <row r="29" spans="1:16">
      <c r="A29" s="421" t="s">
        <v>600</v>
      </c>
      <c r="B29" s="741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425">
        <f t="shared" si="7"/>
        <v>0</v>
      </c>
    </row>
    <row r="30" spans="1:16">
      <c r="A30" s="421" t="s">
        <v>601</v>
      </c>
      <c r="B30" s="741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425">
        <f t="shared" si="7"/>
        <v>0</v>
      </c>
    </row>
    <row r="31" spans="1:16">
      <c r="A31" s="421" t="s">
        <v>602</v>
      </c>
      <c r="B31" s="741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425">
        <f t="shared" si="7"/>
        <v>0</v>
      </c>
    </row>
    <row r="32" spans="1:16">
      <c r="A32" s="421" t="s">
        <v>603</v>
      </c>
      <c r="B32" s="741"/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425">
        <f t="shared" si="7"/>
        <v>0</v>
      </c>
    </row>
    <row r="33" spans="1:16">
      <c r="A33" s="421" t="s">
        <v>604</v>
      </c>
      <c r="B33" s="741"/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425">
        <f t="shared" si="7"/>
        <v>0</v>
      </c>
    </row>
    <row r="34" spans="1:16">
      <c r="A34" s="421" t="s">
        <v>605</v>
      </c>
      <c r="B34" s="741"/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425">
        <f t="shared" si="7"/>
        <v>0</v>
      </c>
    </row>
    <row r="35" spans="1:16">
      <c r="A35" s="421" t="s">
        <v>606</v>
      </c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425">
        <f t="shared" si="7"/>
        <v>0</v>
      </c>
    </row>
    <row r="36" spans="1:16">
      <c r="A36" s="421" t="s">
        <v>607</v>
      </c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425">
        <f t="shared" si="7"/>
        <v>0</v>
      </c>
    </row>
    <row r="37" spans="1:16">
      <c r="A37" s="421" t="s">
        <v>608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425">
        <f t="shared" si="7"/>
        <v>0</v>
      </c>
    </row>
    <row r="38" spans="1:16">
      <c r="A38" s="421" t="s">
        <v>609</v>
      </c>
      <c r="B38" s="741"/>
      <c r="C38" s="741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425">
        <f t="shared" si="7"/>
        <v>0</v>
      </c>
    </row>
    <row r="39" spans="1:16">
      <c r="A39" s="421" t="s">
        <v>559</v>
      </c>
      <c r="B39" s="741"/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1"/>
      <c r="N39" s="741"/>
      <c r="O39" s="741"/>
      <c r="P39" s="425">
        <f t="shared" si="7"/>
        <v>0</v>
      </c>
    </row>
    <row r="40" spans="1:16">
      <c r="A40" s="744"/>
      <c r="B40" s="428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30"/>
    </row>
    <row r="41" spans="1:16">
      <c r="A41" s="421" t="s">
        <v>610</v>
      </c>
      <c r="B41" s="426">
        <f t="shared" ref="B41:O41" si="9">SUM(B42:B46)</f>
        <v>0</v>
      </c>
      <c r="C41" s="426">
        <f t="shared" si="9"/>
        <v>0</v>
      </c>
      <c r="D41" s="426">
        <f t="shared" si="9"/>
        <v>0</v>
      </c>
      <c r="E41" s="426">
        <f t="shared" si="9"/>
        <v>0</v>
      </c>
      <c r="F41" s="426">
        <f t="shared" si="9"/>
        <v>0</v>
      </c>
      <c r="G41" s="426">
        <f t="shared" si="9"/>
        <v>0</v>
      </c>
      <c r="H41" s="426">
        <f t="shared" si="9"/>
        <v>0</v>
      </c>
      <c r="I41" s="426">
        <f t="shared" si="9"/>
        <v>0</v>
      </c>
      <c r="J41" s="426">
        <f t="shared" si="9"/>
        <v>0</v>
      </c>
      <c r="K41" s="426">
        <f t="shared" si="9"/>
        <v>0</v>
      </c>
      <c r="L41" s="426">
        <f t="shared" si="9"/>
        <v>0</v>
      </c>
      <c r="M41" s="426">
        <f t="shared" si="9"/>
        <v>0</v>
      </c>
      <c r="N41" s="426">
        <f t="shared" si="9"/>
        <v>0</v>
      </c>
      <c r="O41" s="426">
        <f t="shared" si="9"/>
        <v>0</v>
      </c>
      <c r="P41" s="425">
        <f t="shared" ref="P41:P47" si="10">+SUM(B41:O41)</f>
        <v>0</v>
      </c>
    </row>
    <row r="42" spans="1:16">
      <c r="A42" s="421" t="s">
        <v>611</v>
      </c>
      <c r="B42" s="741"/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  <c r="P42" s="425">
        <f t="shared" si="10"/>
        <v>0</v>
      </c>
    </row>
    <row r="43" spans="1:16">
      <c r="A43" s="421" t="s">
        <v>612</v>
      </c>
      <c r="B43" s="741"/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425">
        <f t="shared" si="10"/>
        <v>0</v>
      </c>
    </row>
    <row r="44" spans="1:16">
      <c r="A44" s="421" t="s">
        <v>613</v>
      </c>
      <c r="B44" s="741"/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425">
        <f t="shared" si="10"/>
        <v>0</v>
      </c>
    </row>
    <row r="45" spans="1:16">
      <c r="A45" s="421" t="s">
        <v>614</v>
      </c>
      <c r="B45" s="741"/>
      <c r="C45" s="741"/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425">
        <f t="shared" si="10"/>
        <v>0</v>
      </c>
    </row>
    <row r="46" spans="1:16">
      <c r="A46" s="421" t="s">
        <v>559</v>
      </c>
      <c r="B46" s="745"/>
      <c r="C46" s="745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431">
        <f t="shared" si="10"/>
        <v>0</v>
      </c>
    </row>
    <row r="47" spans="1:16" s="736" customFormat="1" ht="15.75" thickBot="1">
      <c r="A47" s="421" t="s">
        <v>615</v>
      </c>
      <c r="B47" s="432">
        <f t="shared" ref="B47:O47" si="11">B4+B16+B17+B24+B41</f>
        <v>0</v>
      </c>
      <c r="C47" s="432">
        <f t="shared" si="11"/>
        <v>0</v>
      </c>
      <c r="D47" s="432">
        <f t="shared" si="11"/>
        <v>0</v>
      </c>
      <c r="E47" s="432">
        <f t="shared" si="11"/>
        <v>0</v>
      </c>
      <c r="F47" s="432">
        <f t="shared" si="11"/>
        <v>0</v>
      </c>
      <c r="G47" s="432">
        <f t="shared" si="11"/>
        <v>0</v>
      </c>
      <c r="H47" s="432">
        <f t="shared" si="11"/>
        <v>0</v>
      </c>
      <c r="I47" s="432">
        <f t="shared" si="11"/>
        <v>0</v>
      </c>
      <c r="J47" s="432">
        <f t="shared" si="11"/>
        <v>0</v>
      </c>
      <c r="K47" s="432">
        <f t="shared" si="11"/>
        <v>0</v>
      </c>
      <c r="L47" s="432">
        <f t="shared" si="11"/>
        <v>0</v>
      </c>
      <c r="M47" s="432">
        <f t="shared" si="11"/>
        <v>0</v>
      </c>
      <c r="N47" s="432">
        <f t="shared" si="11"/>
        <v>0</v>
      </c>
      <c r="O47" s="432">
        <f t="shared" si="11"/>
        <v>0</v>
      </c>
      <c r="P47" s="432">
        <f t="shared" si="10"/>
        <v>0</v>
      </c>
    </row>
    <row r="48" spans="1:16" s="746" customFormat="1" ht="13.5" thickTop="1"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</row>
    <row r="49" spans="1:16" s="746" customFormat="1">
      <c r="A49" s="746" t="s">
        <v>616</v>
      </c>
      <c r="B49" s="434">
        <f t="shared" ref="B49:O49" si="12">B50+B51</f>
        <v>0</v>
      </c>
      <c r="C49" s="434">
        <f t="shared" si="12"/>
        <v>0</v>
      </c>
      <c r="D49" s="434">
        <f t="shared" si="12"/>
        <v>0</v>
      </c>
      <c r="E49" s="434">
        <f t="shared" si="12"/>
        <v>0</v>
      </c>
      <c r="F49" s="434">
        <f t="shared" si="12"/>
        <v>0</v>
      </c>
      <c r="G49" s="434">
        <f t="shared" si="12"/>
        <v>0</v>
      </c>
      <c r="H49" s="434">
        <f t="shared" si="12"/>
        <v>0</v>
      </c>
      <c r="I49" s="434">
        <f t="shared" si="12"/>
        <v>0</v>
      </c>
      <c r="J49" s="434">
        <f t="shared" si="12"/>
        <v>0</v>
      </c>
      <c r="K49" s="434">
        <f t="shared" si="12"/>
        <v>0</v>
      </c>
      <c r="L49" s="434">
        <f t="shared" si="12"/>
        <v>0</v>
      </c>
      <c r="M49" s="434">
        <f t="shared" si="12"/>
        <v>0</v>
      </c>
      <c r="N49" s="434">
        <f t="shared" si="12"/>
        <v>0</v>
      </c>
      <c r="O49" s="434">
        <f t="shared" si="12"/>
        <v>0</v>
      </c>
      <c r="P49" s="435">
        <f>SUM(B49:O49)</f>
        <v>0</v>
      </c>
    </row>
    <row r="50" spans="1:16">
      <c r="A50" s="421" t="s">
        <v>617</v>
      </c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5"/>
      <c r="P50" s="435">
        <f>SUM(B50:O50)</f>
        <v>0</v>
      </c>
    </row>
    <row r="51" spans="1:16">
      <c r="A51" s="421" t="s">
        <v>559</v>
      </c>
      <c r="B51" s="741"/>
      <c r="C51" s="741"/>
      <c r="D51" s="741"/>
      <c r="E51" s="741"/>
      <c r="F51" s="741"/>
      <c r="G51" s="741"/>
      <c r="H51" s="741"/>
      <c r="I51" s="741"/>
      <c r="J51" s="741"/>
      <c r="K51" s="741"/>
      <c r="L51" s="741"/>
      <c r="M51" s="741"/>
      <c r="N51" s="741"/>
      <c r="O51" s="741"/>
      <c r="P51" s="425">
        <f>SUM(B51:O51)</f>
        <v>0</v>
      </c>
    </row>
  </sheetData>
  <sheetProtection password="DE3C" sheet="1" objects="1" scenarios="1" selectLockedCells="1"/>
  <phoneticPr fontId="13" type="noConversion"/>
  <conditionalFormatting sqref="A1:XFD1048576">
    <cfRule type="expression" dxfId="3" priority="1" stopIfTrue="1">
      <formula>CELL("protect",A1)=0</formula>
    </cfRule>
  </conditionalFormatting>
  <pageMargins left="0.34" right="0.18" top="0.62" bottom="0.53" header="0.41" footer="0.27"/>
  <pageSetup paperSize="5" scale="66" orientation="landscape" blackAndWhite="1" r:id="rId1"/>
  <headerFooter alignWithMargins="0">
    <oddHeader>&amp;L&amp;F&amp;RCB 202</oddHeader>
    <oddFooter>&amp;L&amp;D&amp;R&amp;P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C14" sqref="C14"/>
    </sheetView>
  </sheetViews>
  <sheetFormatPr defaultColWidth="9.140625" defaultRowHeight="12.75"/>
  <cols>
    <col min="1" max="1" width="56.7109375" style="437" customWidth="1"/>
    <col min="2" max="2" width="3.85546875" style="437" customWidth="1"/>
    <col min="3" max="3" width="23.85546875" style="437" customWidth="1"/>
    <col min="4" max="16384" width="9.140625" style="437"/>
  </cols>
  <sheetData>
    <row r="1" spans="1:3">
      <c r="A1" s="436" t="str">
        <f>[0]!Name</f>
        <v xml:space="preserve"> SELECT INSURANCE COMPANY</v>
      </c>
      <c r="B1" s="436"/>
      <c r="C1" s="436"/>
    </row>
    <row r="2" spans="1:3">
      <c r="A2" s="531" t="s">
        <v>361</v>
      </c>
      <c r="B2" s="754"/>
      <c r="C2" s="532">
        <f>Cover!reportdate</f>
        <v>0</v>
      </c>
    </row>
    <row r="3" spans="1:3">
      <c r="A3" s="438"/>
      <c r="B3" s="436"/>
      <c r="C3" s="439"/>
    </row>
    <row r="4" spans="1:3">
      <c r="A4" s="440" t="s">
        <v>618</v>
      </c>
      <c r="B4" s="436"/>
      <c r="C4" s="441" t="s">
        <v>619</v>
      </c>
    </row>
    <row r="5" spans="1:3">
      <c r="A5" s="440" t="s">
        <v>620</v>
      </c>
      <c r="B5" s="440"/>
      <c r="C5" s="459"/>
    </row>
    <row r="6" spans="1:3">
      <c r="A6" s="440" t="s">
        <v>621</v>
      </c>
      <c r="B6" s="440"/>
      <c r="C6" s="442">
        <f>IF(C5=0,0,(IF((C5*0.4)&gt;100000,C5* 0.4,100000)))</f>
        <v>0</v>
      </c>
    </row>
    <row r="7" spans="1:3">
      <c r="A7" s="440" t="s">
        <v>622</v>
      </c>
      <c r="B7" s="440"/>
      <c r="C7" s="443"/>
    </row>
    <row r="8" spans="1:3">
      <c r="A8" s="440" t="s">
        <v>623</v>
      </c>
      <c r="B8" s="440"/>
      <c r="C8" s="441" t="s">
        <v>619</v>
      </c>
    </row>
    <row r="9" spans="1:3">
      <c r="A9" s="440" t="s">
        <v>624</v>
      </c>
      <c r="B9" s="440"/>
      <c r="C9" s="459"/>
    </row>
    <row r="10" spans="1:3">
      <c r="A10" s="440" t="s">
        <v>625</v>
      </c>
      <c r="B10" s="440"/>
      <c r="C10" s="442">
        <f>IF(C9=0,0,(IF((C9*0.4)&gt;250000,C9*0.4,250000)))</f>
        <v>0</v>
      </c>
    </row>
    <row r="11" spans="1:3">
      <c r="A11" s="440"/>
      <c r="B11" s="440"/>
      <c r="C11" s="443"/>
    </row>
    <row r="12" spans="1:3">
      <c r="A12" s="444" t="s">
        <v>626</v>
      </c>
      <c r="B12" s="440"/>
      <c r="C12" s="445">
        <f>SUM(C6+C10)</f>
        <v>0</v>
      </c>
    </row>
    <row r="13" spans="1:3">
      <c r="A13" s="440"/>
      <c r="B13" s="440"/>
      <c r="C13" s="443"/>
    </row>
    <row r="14" spans="1:3">
      <c r="A14" s="444" t="s">
        <v>713</v>
      </c>
      <c r="B14" s="440"/>
      <c r="C14" s="755"/>
    </row>
    <row r="15" spans="1:3">
      <c r="A15" s="444"/>
      <c r="B15" s="440"/>
      <c r="C15" s="440"/>
    </row>
    <row r="16" spans="1:3" ht="13.5" thickBot="1">
      <c r="A16" s="444" t="s">
        <v>627</v>
      </c>
      <c r="B16" s="440"/>
      <c r="C16" s="446">
        <f>SUM(C14-C12)</f>
        <v>0</v>
      </c>
    </row>
    <row r="17" spans="1:3" ht="13.5" thickTop="1"/>
    <row r="19" spans="1:3" ht="15.75">
      <c r="A19" s="384"/>
      <c r="C19" s="451"/>
    </row>
    <row r="20" spans="1:3">
      <c r="A20" s="447" t="s">
        <v>0</v>
      </c>
      <c r="C20" s="447" t="s">
        <v>1</v>
      </c>
    </row>
    <row r="21" spans="1:3">
      <c r="A21" s="448" t="s">
        <v>2</v>
      </c>
      <c r="C21" s="200"/>
    </row>
    <row r="22" spans="1:3">
      <c r="A22" s="449"/>
      <c r="C22" s="200"/>
    </row>
    <row r="23" spans="1:3">
      <c r="A23" s="449"/>
      <c r="C23" s="200"/>
    </row>
    <row r="24" spans="1:3">
      <c r="A24" s="449"/>
      <c r="C24" s="200"/>
    </row>
    <row r="25" spans="1:3" ht="15.75">
      <c r="A25" s="384"/>
      <c r="C25" s="451"/>
    </row>
    <row r="26" spans="1:3">
      <c r="A26" s="450" t="s">
        <v>3</v>
      </c>
      <c r="C26" s="447" t="s">
        <v>4</v>
      </c>
    </row>
    <row r="27" spans="1:3">
      <c r="A27" s="448" t="s">
        <v>2</v>
      </c>
      <c r="C27" s="200"/>
    </row>
    <row r="28" spans="1:3">
      <c r="A28" s="448"/>
      <c r="C28" s="200"/>
    </row>
    <row r="29" spans="1:3">
      <c r="A29" s="449"/>
      <c r="C29" s="200"/>
    </row>
    <row r="30" spans="1:3" ht="15.75">
      <c r="A30" s="384"/>
      <c r="C30" s="451"/>
    </row>
    <row r="31" spans="1:3">
      <c r="A31" s="450" t="s">
        <v>5</v>
      </c>
      <c r="C31" s="448" t="s">
        <v>6</v>
      </c>
    </row>
    <row r="32" spans="1:3">
      <c r="A32" s="452" t="s">
        <v>7</v>
      </c>
      <c r="C32" s="200"/>
    </row>
  </sheetData>
  <sheetProtection algorithmName="SHA-512" hashValue="7uZivjbk4knWBT1jzDA0FFnVaSnpqOh4lU1EGxGEI3wrWEFnl/kF2VXME0Tres1e/kZk8miY++4v882Q4hGuVA==" saltValue="QJXpgjZY/IBeyNDTjODYzA==" spinCount="100000" sheet="1" selectLockedCells="1"/>
  <phoneticPr fontId="13" type="noConversion"/>
  <conditionalFormatting sqref="A1:XFD1048576">
    <cfRule type="expression" dxfId="2" priority="1" stopIfTrue="1">
      <formula>CELL("protect",A1)=0</formula>
    </cfRule>
  </conditionalFormatting>
  <dataValidations count="2">
    <dataValidation operator="lessThanOrEqual" allowBlank="1" showInputMessage="1" showErrorMessage="1" errorTitle="Numbers only" error="you can only enter whole numbers" sqref="C12:C13"/>
    <dataValidation type="decimal" operator="lessThanOrEqual" allowBlank="1" showInputMessage="1" showErrorMessage="1" errorTitle="Numbers only" error="you can only enter whole numbers" sqref="C5 C11 C7 C9">
      <formula1>50000000000</formula1>
    </dataValidation>
  </dataValidations>
  <pageMargins left="0.6" right="0.6" top="1" bottom="1" header="0.5" footer="0.5"/>
  <pageSetup paperSize="9" orientation="portrait" blackAndWhite="1" r:id="rId1"/>
  <headerFooter alignWithMargins="0">
    <oddHeader>&amp;L&amp;F&amp;R&amp;A</oddHeader>
    <oddFooter>&amp;L&amp;D&amp;R&amp;P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75" workbookViewId="0">
      <selection activeCell="C28" sqref="C28"/>
    </sheetView>
  </sheetViews>
  <sheetFormatPr defaultColWidth="9.140625" defaultRowHeight="12.75"/>
  <cols>
    <col min="1" max="1" width="74.28515625" style="364" customWidth="1"/>
    <col min="2" max="2" width="9.42578125" style="364" customWidth="1"/>
    <col min="3" max="3" width="18.7109375" style="214" customWidth="1"/>
    <col min="4" max="16384" width="9.140625" style="364"/>
  </cols>
  <sheetData>
    <row r="1" spans="1:3">
      <c r="A1" s="96" t="str">
        <f>[0]!Name</f>
        <v xml:space="preserve"> SELECT INSURANCE COMPANY</v>
      </c>
      <c r="C1" s="453"/>
    </row>
    <row r="2" spans="1:3">
      <c r="A2" s="454" t="s">
        <v>362</v>
      </c>
      <c r="B2" s="747"/>
      <c r="C2" s="533">
        <f>Cover!reportdate</f>
        <v>0</v>
      </c>
    </row>
    <row r="4" spans="1:3">
      <c r="A4" s="455" t="s">
        <v>628</v>
      </c>
      <c r="C4" s="456" t="s">
        <v>619</v>
      </c>
    </row>
    <row r="5" spans="1:3" ht="13.5">
      <c r="A5" s="457" t="s">
        <v>629</v>
      </c>
      <c r="C5" s="458"/>
    </row>
    <row r="6" spans="1:3">
      <c r="A6" s="214" t="s">
        <v>630</v>
      </c>
      <c r="C6" s="443"/>
    </row>
    <row r="7" spans="1:3">
      <c r="A7" s="769" t="s">
        <v>1158</v>
      </c>
      <c r="C7" s="547">
        <f>'CB20'!D308+'CB20'!F308</f>
        <v>0</v>
      </c>
    </row>
    <row r="8" spans="1:3">
      <c r="A8" s="769" t="s">
        <v>1159</v>
      </c>
      <c r="C8" s="539">
        <f>'CB20'!D309+'CB20'!F309</f>
        <v>0</v>
      </c>
    </row>
    <row r="9" spans="1:3">
      <c r="A9" s="769" t="s">
        <v>1160</v>
      </c>
      <c r="C9" s="539">
        <f>'CB20'!D310+'CB20'!F310</f>
        <v>0</v>
      </c>
    </row>
    <row r="10" spans="1:3">
      <c r="A10" s="769" t="s">
        <v>1161</v>
      </c>
      <c r="C10" s="539">
        <f>'CB20'!D311+'CB20'!F311</f>
        <v>0</v>
      </c>
    </row>
    <row r="11" spans="1:3">
      <c r="A11" s="769" t="s">
        <v>1162</v>
      </c>
      <c r="C11" s="539">
        <f>'CB20'!D312+'CB20'!F312</f>
        <v>0</v>
      </c>
    </row>
    <row r="12" spans="1:3">
      <c r="A12" s="767" t="s">
        <v>1163</v>
      </c>
      <c r="C12" s="539">
        <f>'CB20'!D313+'CB20'!F313</f>
        <v>0</v>
      </c>
    </row>
    <row r="13" spans="1:3">
      <c r="A13" s="767" t="s">
        <v>1164</v>
      </c>
      <c r="C13" s="539">
        <f>'CB20'!D314+'CB20'!F314</f>
        <v>0</v>
      </c>
    </row>
    <row r="14" spans="1:3">
      <c r="A14" s="769" t="s">
        <v>1165</v>
      </c>
      <c r="C14" s="539">
        <f>'CB20'!D317+'CB20'!F317</f>
        <v>0</v>
      </c>
    </row>
    <row r="15" spans="1:3">
      <c r="A15" s="768" t="s">
        <v>1166</v>
      </c>
      <c r="B15" s="214"/>
      <c r="C15" s="539">
        <f>'CB20'!D318+'CB20'!F318</f>
        <v>0</v>
      </c>
    </row>
    <row r="16" spans="1:3">
      <c r="A16" s="767" t="s">
        <v>1167</v>
      </c>
      <c r="B16" s="214"/>
      <c r="C16" s="539">
        <f>'CB20'!D319+'CB20'!F319</f>
        <v>0</v>
      </c>
    </row>
    <row r="17" spans="1:3">
      <c r="A17" s="767" t="s">
        <v>1168</v>
      </c>
      <c r="B17" s="214"/>
      <c r="C17" s="539">
        <f>'CB20'!D320+'CB20'!F320</f>
        <v>0</v>
      </c>
    </row>
    <row r="18" spans="1:3">
      <c r="A18" s="767" t="s">
        <v>1169</v>
      </c>
      <c r="B18" s="214"/>
      <c r="C18" s="539">
        <f>'CB20'!D321+'CB20'!F321</f>
        <v>0</v>
      </c>
    </row>
    <row r="19" spans="1:3">
      <c r="A19" s="767" t="s">
        <v>1170</v>
      </c>
      <c r="B19" s="214"/>
      <c r="C19" s="539">
        <f>'CB20'!D322+'CB20'!F322</f>
        <v>0</v>
      </c>
    </row>
    <row r="20" spans="1:3">
      <c r="A20" s="767" t="s">
        <v>1171</v>
      </c>
      <c r="B20" s="214"/>
      <c r="C20" s="539">
        <f>'CB20'!D323+'CB20'!F323</f>
        <v>0</v>
      </c>
    </row>
    <row r="21" spans="1:3">
      <c r="A21" s="767" t="s">
        <v>1172</v>
      </c>
      <c r="B21" s="214"/>
      <c r="C21" s="539">
        <f>'CB20'!D324+'CB20'!F324</f>
        <v>0</v>
      </c>
    </row>
    <row r="22" spans="1:3">
      <c r="A22" s="767" t="s">
        <v>1173</v>
      </c>
      <c r="B22" s="214"/>
      <c r="C22" s="539">
        <f>'CB20'!D325+'CB20'!F325</f>
        <v>0</v>
      </c>
    </row>
    <row r="23" spans="1:3">
      <c r="A23" s="207" t="s">
        <v>1174</v>
      </c>
      <c r="B23" s="214"/>
      <c r="C23" s="539">
        <f>'CB20'!D388+'CB20'!F388</f>
        <v>0</v>
      </c>
    </row>
    <row r="24" spans="1:3">
      <c r="A24" s="214" t="s">
        <v>1175</v>
      </c>
      <c r="C24" s="539">
        <f>'CB20'!D370+'CB20'!F370</f>
        <v>0</v>
      </c>
    </row>
    <row r="25" spans="1:3" ht="12.75" customHeight="1">
      <c r="A25" s="355" t="s">
        <v>1176</v>
      </c>
      <c r="B25" s="214"/>
      <c r="C25" s="540">
        <f>'CB20'!D344+'CB20'!F344-'CB20'!D255-'CB20'!F255</f>
        <v>0</v>
      </c>
    </row>
    <row r="26" spans="1:3">
      <c r="A26" s="214" t="s">
        <v>631</v>
      </c>
      <c r="B26" s="214"/>
      <c r="C26" s="541">
        <f>SUM(C27:C31)</f>
        <v>0</v>
      </c>
    </row>
    <row r="27" spans="1:3">
      <c r="A27" s="748"/>
      <c r="B27" s="214"/>
      <c r="C27" s="749"/>
    </row>
    <row r="28" spans="1:3">
      <c r="A28" s="750"/>
      <c r="B28" s="214"/>
      <c r="C28" s="751"/>
    </row>
    <row r="29" spans="1:3">
      <c r="A29" s="750"/>
      <c r="B29" s="214"/>
      <c r="C29" s="751"/>
    </row>
    <row r="30" spans="1:3">
      <c r="A30" s="750"/>
      <c r="B30" s="214"/>
      <c r="C30" s="751"/>
    </row>
    <row r="31" spans="1:3">
      <c r="A31" s="750"/>
      <c r="B31" s="214"/>
      <c r="C31" s="751"/>
    </row>
    <row r="32" spans="1:3">
      <c r="A32" s="460"/>
      <c r="B32" s="440"/>
      <c r="C32" s="540"/>
    </row>
    <row r="33" spans="1:3">
      <c r="A33" s="455" t="s">
        <v>218</v>
      </c>
      <c r="C33" s="546">
        <f>SUM(C7:C26)</f>
        <v>0</v>
      </c>
    </row>
    <row r="34" spans="1:3">
      <c r="A34" s="214"/>
      <c r="C34" s="443"/>
    </row>
    <row r="35" spans="1:3" ht="13.5">
      <c r="A35" s="457" t="s">
        <v>633</v>
      </c>
      <c r="C35" s="443"/>
    </row>
    <row r="36" spans="1:3">
      <c r="A36" s="214" t="s">
        <v>714</v>
      </c>
      <c r="C36" s="547">
        <f>'CB20'!D174+'CB20'!F174</f>
        <v>0</v>
      </c>
    </row>
    <row r="37" spans="1:3">
      <c r="A37" s="214" t="s">
        <v>715</v>
      </c>
      <c r="C37" s="540">
        <f>'CB20'!D229+'CB20'!F229</f>
        <v>0</v>
      </c>
    </row>
    <row r="38" spans="1:3">
      <c r="A38" s="214" t="s">
        <v>216</v>
      </c>
      <c r="C38" s="540">
        <f>MIN(C39,C40)</f>
        <v>0</v>
      </c>
    </row>
    <row r="39" spans="1:3">
      <c r="A39" s="538" t="s">
        <v>219</v>
      </c>
      <c r="C39" s="752">
        <v>0</v>
      </c>
    </row>
    <row r="40" spans="1:3">
      <c r="A40" s="538" t="s">
        <v>220</v>
      </c>
      <c r="C40" s="542">
        <f>'CB20'!F503+'CB20'!F506</f>
        <v>0</v>
      </c>
    </row>
    <row r="41" spans="1:3">
      <c r="A41" s="214" t="s">
        <v>631</v>
      </c>
      <c r="C41" s="541">
        <f>SUM(C42:C46)</f>
        <v>0</v>
      </c>
    </row>
    <row r="42" spans="1:3">
      <c r="A42" s="753"/>
      <c r="B42" s="214"/>
      <c r="C42" s="749"/>
    </row>
    <row r="43" spans="1:3">
      <c r="A43" s="750"/>
      <c r="B43" s="214"/>
      <c r="C43" s="751"/>
    </row>
    <row r="44" spans="1:3">
      <c r="A44" s="750"/>
      <c r="B44" s="214"/>
      <c r="C44" s="751"/>
    </row>
    <row r="45" spans="1:3">
      <c r="A45" s="750"/>
      <c r="B45" s="214"/>
      <c r="C45" s="751"/>
    </row>
    <row r="46" spans="1:3">
      <c r="A46" s="750"/>
      <c r="B46" s="214"/>
      <c r="C46" s="751"/>
    </row>
    <row r="47" spans="1:3">
      <c r="A47" s="455" t="s">
        <v>217</v>
      </c>
      <c r="B47" s="214"/>
      <c r="C47" s="546">
        <f>C36+C37+C38+C41</f>
        <v>0</v>
      </c>
    </row>
    <row r="48" spans="1:3">
      <c r="A48" s="460"/>
      <c r="B48" s="214"/>
      <c r="C48" s="443"/>
    </row>
    <row r="49" spans="1:3">
      <c r="A49" s="455" t="s">
        <v>634</v>
      </c>
      <c r="C49" s="546">
        <f>C33-C47</f>
        <v>0</v>
      </c>
    </row>
    <row r="50" spans="1:3">
      <c r="A50" s="455"/>
      <c r="C50" s="443"/>
    </row>
    <row r="51" spans="1:3">
      <c r="A51" s="461" t="s">
        <v>517</v>
      </c>
      <c r="C51" s="798"/>
    </row>
    <row r="52" spans="1:3">
      <c r="A52" s="461"/>
      <c r="C52" s="443"/>
    </row>
    <row r="53" spans="1:3" ht="13.5" thickBot="1">
      <c r="A53" s="455" t="s">
        <v>635</v>
      </c>
      <c r="C53" s="543">
        <f>C51-C49</f>
        <v>0</v>
      </c>
    </row>
    <row r="54" spans="1:3" ht="13.5" thickTop="1">
      <c r="A54" s="214"/>
      <c r="C54" s="479"/>
    </row>
    <row r="56" spans="1:3" ht="15.75">
      <c r="A56" s="462"/>
      <c r="C56" s="480"/>
    </row>
    <row r="57" spans="1:3">
      <c r="A57" s="463" t="s">
        <v>0</v>
      </c>
      <c r="C57" s="464" t="s">
        <v>1</v>
      </c>
    </row>
    <row r="58" spans="1:3">
      <c r="A58" s="463" t="s">
        <v>2</v>
      </c>
      <c r="C58" s="202"/>
    </row>
    <row r="59" spans="1:3">
      <c r="A59" s="465"/>
      <c r="C59" s="202"/>
    </row>
    <row r="60" spans="1:3">
      <c r="A60" s="465"/>
      <c r="C60" s="202"/>
    </row>
    <row r="61" spans="1:3">
      <c r="A61" s="465"/>
      <c r="C61" s="202"/>
    </row>
    <row r="62" spans="1:3" ht="15.75">
      <c r="A62" s="466"/>
      <c r="C62" s="480"/>
    </row>
    <row r="63" spans="1:3">
      <c r="A63" s="467" t="s">
        <v>3</v>
      </c>
      <c r="C63" s="464" t="s">
        <v>4</v>
      </c>
    </row>
    <row r="64" spans="1:3">
      <c r="A64" s="463" t="s">
        <v>2</v>
      </c>
      <c r="C64" s="202"/>
    </row>
    <row r="65" spans="1:3">
      <c r="A65" s="463"/>
      <c r="C65" s="202"/>
    </row>
    <row r="66" spans="1:3">
      <c r="A66" s="463"/>
      <c r="C66" s="202"/>
    </row>
    <row r="67" spans="1:3">
      <c r="A67" s="465"/>
      <c r="C67" s="202"/>
    </row>
    <row r="68" spans="1:3">
      <c r="A68" s="468"/>
      <c r="C68" s="480"/>
    </row>
    <row r="69" spans="1:3">
      <c r="A69" s="467" t="s">
        <v>5</v>
      </c>
      <c r="C69" s="463" t="s">
        <v>6</v>
      </c>
    </row>
    <row r="70" spans="1:3">
      <c r="A70" s="469" t="s">
        <v>7</v>
      </c>
      <c r="C70" s="202"/>
    </row>
  </sheetData>
  <sheetProtection algorithmName="SHA-512" hashValue="VggWiBVzCkp3jMDUenNy4ZOZ98b2c1110GWwZp7lZkaLPaghy4plsPCJ7WQZPmUlU09vl6DaKwCeEmOXQYajIA==" saltValue="kVA1TXqbMEklVa5PkPHloA==" spinCount="100000" sheet="1" selectLockedCells="1"/>
  <phoneticPr fontId="13" type="noConversion"/>
  <conditionalFormatting sqref="A1:XFD1048576">
    <cfRule type="expression" dxfId="1" priority="1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54 C5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C6:C53">
      <formula1>50000000000</formula1>
    </dataValidation>
  </dataValidations>
  <pageMargins left="0.75" right="0.57999999999999996" top="1" bottom="1" header="0.5" footer="0.5"/>
  <pageSetup paperSize="9" scale="89" orientation="portrait" blackAndWhite="1" r:id="rId1"/>
  <headerFooter alignWithMargins="0">
    <oddHeader>&amp;L&amp;F&amp;R&amp;A</oddHeader>
    <oddFooter xml:space="preserve">&amp;L&amp;D&amp;R&amp;P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Cover</vt:lpstr>
      <vt:lpstr>CB20</vt:lpstr>
      <vt:lpstr>CB40</vt:lpstr>
      <vt:lpstr>1A</vt:lpstr>
      <vt:lpstr>1B</vt:lpstr>
      <vt:lpstr>CB201</vt:lpstr>
      <vt:lpstr>CB202</vt:lpstr>
      <vt:lpstr>Stat Deposit</vt:lpstr>
      <vt:lpstr>Stat Fund-LT</vt:lpstr>
      <vt:lpstr>Stat Fund-MV</vt:lpstr>
      <vt:lpstr>Notes</vt:lpstr>
      <vt:lpstr>Codes</vt:lpstr>
      <vt:lpstr>INSASCII_new_codes</vt:lpstr>
      <vt:lpstr>Sheet2</vt:lpstr>
      <vt:lpstr>Name</vt:lpstr>
      <vt:lpstr>Plans</vt:lpstr>
      <vt:lpstr>'1A'!Print_Area</vt:lpstr>
      <vt:lpstr>'1B'!Print_Area</vt:lpstr>
      <vt:lpstr>'CB20'!Print_Area</vt:lpstr>
      <vt:lpstr>'CB201'!Print_Area</vt:lpstr>
      <vt:lpstr>'CB202'!Print_Area</vt:lpstr>
      <vt:lpstr>'CB40'!Print_Area</vt:lpstr>
      <vt:lpstr>Cover!Print_Area</vt:lpstr>
      <vt:lpstr>INSASCII_new_codes!Print_Area</vt:lpstr>
      <vt:lpstr>'Stat Deposit'!Print_Area</vt:lpstr>
      <vt:lpstr>'Stat Fund-LT'!Print_Area</vt:lpstr>
      <vt:lpstr>'Stat Fund-MV'!Print_Area</vt:lpstr>
      <vt:lpstr>'CB201'!Print_Titles</vt:lpstr>
      <vt:lpstr>Cover!reportdate</vt:lpstr>
      <vt:lpstr>reportdate</vt:lpstr>
    </vt:vector>
  </TitlesOfParts>
  <Company>The Central Bank of Trinidad &amp;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jholder</dc:creator>
  <cp:lastModifiedBy>jmohess</cp:lastModifiedBy>
  <cp:lastPrinted>2020-06-12T15:28:28Z</cp:lastPrinted>
  <dcterms:created xsi:type="dcterms:W3CDTF">2008-04-28T14:17:16Z</dcterms:created>
  <dcterms:modified xsi:type="dcterms:W3CDTF">2021-05-25T22:40:48Z</dcterms:modified>
</cp:coreProperties>
</file>